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lculo" sheetId="1" r:id="rId5"/>
    <sheet state="visible" name="1a FASE" sheetId="2" r:id="rId6"/>
    <sheet state="visible" name="PLAYOFF_1aFASE" sheetId="3" r:id="rId7"/>
    <sheet state="visible" name="OITAVAS" sheetId="4" r:id="rId8"/>
    <sheet state="visible" name="QUARTAS" sheetId="5" r:id="rId9"/>
    <sheet state="visible" name="SEMI" sheetId="6" r:id="rId10"/>
    <sheet state="visible" name="FINAL" sheetId="7" r:id="rId11"/>
    <sheet state="visible" name="SC" sheetId="8" r:id="rId12"/>
    <sheet state="visible" name="Ranking" sheetId="9" r:id="rId13"/>
    <sheet state="visible" name="Detalhado 1ª Fase" sheetId="10" r:id="rId14"/>
    <sheet state="visible" name="Form_PrimeiraFase" sheetId="11" r:id="rId15"/>
    <sheet state="visible" name="Form_Playoff1aFase" sheetId="12" r:id="rId16"/>
    <sheet state="visible" name="Form_SuperClassico" sheetId="13" r:id="rId17"/>
    <sheet state="visible" name="Form_Oitavas" sheetId="14" r:id="rId18"/>
    <sheet state="visible" name="Form_Quartas" sheetId="15" r:id="rId19"/>
    <sheet state="visible" name="Form_Semi" sheetId="16" r:id="rId20"/>
    <sheet state="visible" name="Form_FINAL" sheetId="17" r:id="rId21"/>
    <sheet state="visible" name="Acertos" sheetId="18" r:id="rId22"/>
    <sheet state="visible" name="Pesos" sheetId="19" r:id="rId23"/>
  </sheets>
  <definedNames>
    <definedName hidden="1" localSheetId="8" name="_xlnm._FilterDatabase">Ranking!$C$4:$Q$25</definedName>
    <definedName hidden="1" localSheetId="18" name="_xlnm._FilterDatabase">Pesos!$B$7:$G$21</definedName>
  </definedNames>
  <calcPr/>
</workbook>
</file>

<file path=xl/sharedStrings.xml><?xml version="1.0" encoding="utf-8"?>
<sst xmlns="http://schemas.openxmlformats.org/spreadsheetml/2006/main" count="6846" uniqueCount="481">
  <si>
    <t>PALPITE</t>
  </si>
  <si>
    <t>OFICIAL</t>
  </si>
  <si>
    <t>Leo Picca</t>
  </si>
  <si>
    <t>Leo Raposo</t>
  </si>
  <si>
    <t>Serginho</t>
  </si>
  <si>
    <t>Biel</t>
  </si>
  <si>
    <t>Rafinha</t>
  </si>
  <si>
    <t>Ranieri</t>
  </si>
  <si>
    <t>Nanel</t>
  </si>
  <si>
    <t>Marcel</t>
  </si>
  <si>
    <t>Dan</t>
  </si>
  <si>
    <t>Celsinho</t>
  </si>
  <si>
    <t>Enrico</t>
  </si>
  <si>
    <t>Gui Giron</t>
  </si>
  <si>
    <t>Scarpa</t>
  </si>
  <si>
    <t>Victor</t>
  </si>
  <si>
    <t>Faber</t>
  </si>
  <si>
    <t>Felippe Leite</t>
  </si>
  <si>
    <t>Muca</t>
  </si>
  <si>
    <t>Feijão</t>
  </si>
  <si>
    <t>Ivan</t>
  </si>
  <si>
    <t>Michel</t>
  </si>
  <si>
    <t>Deco</t>
  </si>
  <si>
    <t>GARÇOM</t>
  </si>
  <si>
    <t>Ordem Class 1</t>
  </si>
  <si>
    <t>Ordem Class 2</t>
  </si>
  <si>
    <t>Ordem Class 3</t>
  </si>
  <si>
    <t>Ordem Class 4</t>
  </si>
  <si>
    <t>Ordem Class 5</t>
  </si>
  <si>
    <t>Ordem Class 6</t>
  </si>
  <si>
    <t>Ordem Class 7</t>
  </si>
  <si>
    <t>Ordem Class 8</t>
  </si>
  <si>
    <t>A PONTUAÇÃO</t>
  </si>
  <si>
    <t>-----</t>
  </si>
  <si>
    <t>RANKING</t>
  </si>
  <si>
    <t>ARTILHEIRO</t>
  </si>
  <si>
    <t>TIME FAVORITO</t>
  </si>
  <si>
    <t>Machtday 1</t>
  </si>
  <si>
    <t>Union Saint-Gilloise</t>
  </si>
  <si>
    <t>Arsenal</t>
  </si>
  <si>
    <t>Real Madrid</t>
  </si>
  <si>
    <t>Qarabag</t>
  </si>
  <si>
    <t>Empate</t>
  </si>
  <si>
    <t>Tottenham</t>
  </si>
  <si>
    <t>Paris Saint-Germain</t>
  </si>
  <si>
    <t>Bayern de Munique</t>
  </si>
  <si>
    <t>Liverpool</t>
  </si>
  <si>
    <t>Internazionale</t>
  </si>
  <si>
    <t>Club Brugge</t>
  </si>
  <si>
    <t>Manchester City</t>
  </si>
  <si>
    <t>Eintracht Frankfurt</t>
  </si>
  <si>
    <t>Sporting</t>
  </si>
  <si>
    <t>Barcelona</t>
  </si>
  <si>
    <t>Machtday 2</t>
  </si>
  <si>
    <t>Atalanta</t>
  </si>
  <si>
    <t>Chelsea</t>
  </si>
  <si>
    <t>Atlético de Madrid</t>
  </si>
  <si>
    <t>Olympique de Marselha</t>
  </si>
  <si>
    <t>Galatasaray</t>
  </si>
  <si>
    <t>Newcastle</t>
  </si>
  <si>
    <t>Napoli</t>
  </si>
  <si>
    <t>Borussia Dortmund</t>
  </si>
  <si>
    <t>Machtday 3</t>
  </si>
  <si>
    <t>PSV Eindhoven</t>
  </si>
  <si>
    <t>Athletic Bilbao</t>
  </si>
  <si>
    <t>Machtday 4</t>
  </si>
  <si>
    <t>Monaco</t>
  </si>
  <si>
    <t>Pafos</t>
  </si>
  <si>
    <t>Bayer Leverkusen</t>
  </si>
  <si>
    <t>Machtday 5</t>
  </si>
  <si>
    <t>Benfica</t>
  </si>
  <si>
    <t>Juventus</t>
  </si>
  <si>
    <t>Copenhagen</t>
  </si>
  <si>
    <t>Machtday 6</t>
  </si>
  <si>
    <t>Olympiacos</t>
  </si>
  <si>
    <t>Ajax</t>
  </si>
  <si>
    <t>Machtday 7</t>
  </si>
  <si>
    <t>Bodö/Glimt</t>
  </si>
  <si>
    <t>Machtday 8</t>
  </si>
  <si>
    <t>Classificado 1</t>
  </si>
  <si>
    <t>Classificado 2</t>
  </si>
  <si>
    <t>Classificado 3</t>
  </si>
  <si>
    <t>Classificado 4</t>
  </si>
  <si>
    <t>Classificado 5</t>
  </si>
  <si>
    <t>Classificado 6</t>
  </si>
  <si>
    <t>Classificado 7</t>
  </si>
  <si>
    <t>Classificado 8</t>
  </si>
  <si>
    <t>Monaco x Paris Saint-Germain</t>
  </si>
  <si>
    <t>tend</t>
  </si>
  <si>
    <t>pont</t>
  </si>
  <si>
    <t>Galatasaray x Juventus</t>
  </si>
  <si>
    <t>Benfica x Real Madrid</t>
  </si>
  <si>
    <t>Borussia Dortmund x Atalanta</t>
  </si>
  <si>
    <t>Qarabag x Newcastle</t>
  </si>
  <si>
    <t>Club Brugge x Atlético de Madrid</t>
  </si>
  <si>
    <t>Bodö/Glimt x Internazionale</t>
  </si>
  <si>
    <t>Olympiacos x Bayer Leverkusen</t>
  </si>
  <si>
    <t>acertos</t>
  </si>
  <si>
    <t>x</t>
  </si>
  <si>
    <t>Paris Saint-Germain x Monaco</t>
  </si>
  <si>
    <t>Juventus x Galatasaray</t>
  </si>
  <si>
    <t>Real Madrid x Benfica</t>
  </si>
  <si>
    <t>Atalanta x Borussia Dortmund</t>
  </si>
  <si>
    <t>Newcastle x Qarabag</t>
  </si>
  <si>
    <t>Atlético de Madrid x Club Brugge</t>
  </si>
  <si>
    <t>Internazionale x Bodö/Glimt</t>
  </si>
  <si>
    <t>Bayer Leverkusen x Olympiacos</t>
  </si>
  <si>
    <t>CLASSIFICADO</t>
  </si>
  <si>
    <t>fav</t>
  </si>
  <si>
    <t>Final</t>
  </si>
  <si>
    <t>Paris Saint-Germain x Chelsea</t>
  </si>
  <si>
    <t>Galatasaray x Liverpool</t>
  </si>
  <si>
    <t>Real Madrid x Manchester City</t>
  </si>
  <si>
    <t>Atalanta x Bayern de Munique</t>
  </si>
  <si>
    <t>Newcastle x Barcelona</t>
  </si>
  <si>
    <t>Atlético de Madrid x Tottenham</t>
  </si>
  <si>
    <t>Bodö/Glimt x Sporting</t>
  </si>
  <si>
    <t>Bayer Leverkusen x Arsenal</t>
  </si>
  <si>
    <t>Chelsea x Paris Saint-Germain</t>
  </si>
  <si>
    <t>Liverpool x Galatasaray</t>
  </si>
  <si>
    <t>Manchester City x Real Madrid</t>
  </si>
  <si>
    <t>Bayern de Munique x Atalanta</t>
  </si>
  <si>
    <t>Barcelona x Newcastle</t>
  </si>
  <si>
    <t>Tottenham x Atlético de Madrid</t>
  </si>
  <si>
    <t>Sporting x Bodö/Glimt</t>
  </si>
  <si>
    <t>Arsenal x Bayer Leverkusen</t>
  </si>
  <si>
    <t>Paris Saint-Germain x Liverpool</t>
  </si>
  <si>
    <t>Real Madrid x Bayern de Munique</t>
  </si>
  <si>
    <t>Barcelona x Atlético de Madrid</t>
  </si>
  <si>
    <t>Sporting x Arsenal</t>
  </si>
  <si>
    <t>Liverpool x Paris Saint-Germain</t>
  </si>
  <si>
    <t>Bayern de Munique x Real Madrid</t>
  </si>
  <si>
    <t>Atlético de Madrid x Barcelona</t>
  </si>
  <si>
    <t>Arsenal x Sporting</t>
  </si>
  <si>
    <t>Arsenal x Paris</t>
  </si>
  <si>
    <t>Barcelona x Inter</t>
  </si>
  <si>
    <t>Paris x Arsenal</t>
  </si>
  <si>
    <t>Inter x Barcelona</t>
  </si>
  <si>
    <t>Paris</t>
  </si>
  <si>
    <t>Inter</t>
  </si>
  <si>
    <t>Campeão, quem ganha?</t>
  </si>
  <si>
    <t>TOTAL</t>
  </si>
  <si>
    <t>Favorito</t>
  </si>
  <si>
    <t>Campeão</t>
  </si>
  <si>
    <t>Artilheiro</t>
  </si>
  <si>
    <t>Garçom</t>
  </si>
  <si>
    <t>1 RODADA</t>
  </si>
  <si>
    <t>2 RODADA</t>
  </si>
  <si>
    <t>4 RODADA</t>
  </si>
  <si>
    <t>Bayern de Munique x Chelsea</t>
  </si>
  <si>
    <t>Barcelona x Paris Saint-Germain</t>
  </si>
  <si>
    <t>Paris Saint-Germain x Bayern de Munique</t>
  </si>
  <si>
    <t>Liverpool x Real Madrid</t>
  </si>
  <si>
    <t>5 RODADA</t>
  </si>
  <si>
    <t>6 RODADA</t>
  </si>
  <si>
    <t>7 RODADA</t>
  </si>
  <si>
    <t>8 RODADA</t>
  </si>
  <si>
    <t>Chelsea x Barcelona</t>
  </si>
  <si>
    <t>xxxx x xxxxx</t>
  </si>
  <si>
    <t>APOSTADOR</t>
  </si>
  <si>
    <t>1a FASE</t>
  </si>
  <si>
    <t>PLAYOFF 1a FASE</t>
  </si>
  <si>
    <t>OITAVAS</t>
  </si>
  <si>
    <t>QUARTAS</t>
  </si>
  <si>
    <t>SEMI</t>
  </si>
  <si>
    <t>FINAL</t>
  </si>
  <si>
    <t>Superclassico</t>
  </si>
  <si>
    <t>FAVORITO</t>
  </si>
  <si>
    <t>.;</t>
  </si>
  <si>
    <t>Pontuação de cada apostador após cada rodada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</si>
  <si>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</si>
  <si>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</si>
  <si>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</si>
  <si>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</si>
  <si>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</si>
  <si>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</si>
  <si>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</si>
  <si>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</si>
  <si>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Classificados</t>
  </si>
  <si>
    <t>Carimbo de data/hora</t>
  </si>
  <si>
    <t>Endereço de e-mail</t>
  </si>
  <si>
    <t>Quem é o palpiteiro?</t>
  </si>
  <si>
    <t>PSV Eindhoven x Union Saint-Gilloise</t>
  </si>
  <si>
    <t>Athletic Bilbao x Arsenal</t>
  </si>
  <si>
    <t>Real Madrid x Olympique de Marselha</t>
  </si>
  <si>
    <t>Benfica x Qarabag</t>
  </si>
  <si>
    <t>Juventus x Borussia Dortmund</t>
  </si>
  <si>
    <t>Tottenham x Villarreal</t>
  </si>
  <si>
    <t>Olympiacos x Pafos</t>
  </si>
  <si>
    <t>Slavia Praga x Bodö/Glimt</t>
  </si>
  <si>
    <t>Paris Saint-Germain x Atalanta</t>
  </si>
  <si>
    <t>Liverpool x Atlético de Madrid</t>
  </si>
  <si>
    <t>Ajax x Internazionale</t>
  </si>
  <si>
    <t>Club Brugge x Monaco</t>
  </si>
  <si>
    <t>Copenhagen x Bayer Leverkusen</t>
  </si>
  <si>
    <t>Manchester City x Napoli</t>
  </si>
  <si>
    <t>Eintracht Frankfurt x Galatasaray</t>
  </si>
  <si>
    <t>Sporting x Kairat</t>
  </si>
  <si>
    <t>Atalanta x Club Brugge</t>
  </si>
  <si>
    <t>Kairat x Real Madrid</t>
  </si>
  <si>
    <t>Internazionale x Slavia Praga</t>
  </si>
  <si>
    <t>Chelsea x Benfica</t>
  </si>
  <si>
    <t>Atlético de Madrid x Eintracht Frankfurt</t>
  </si>
  <si>
    <t>Bodö/Glimt x Tottenham</t>
  </si>
  <si>
    <t>Olympique de Marselha x Ajax</t>
  </si>
  <si>
    <t>Pafos x Bayern de Munique</t>
  </si>
  <si>
    <t>Union Saint-Gilloise x Newcastle</t>
  </si>
  <si>
    <t>Qarabag x Copenhagen</t>
  </si>
  <si>
    <t>Arsenal x Olympiacos</t>
  </si>
  <si>
    <t>Bayer Leverkusen x PSV Eindhoven</t>
  </si>
  <si>
    <t>Villarreal x Juventus</t>
  </si>
  <si>
    <t>Napoli x Sporting</t>
  </si>
  <si>
    <t>Monaco x Manchester City</t>
  </si>
  <si>
    <t>Borussia Dortmund x Athletic Bilbao</t>
  </si>
  <si>
    <t>Barcelona x Olympiacos</t>
  </si>
  <si>
    <t>Kairat x Pafos</t>
  </si>
  <si>
    <t>Arsenal x Atlético de Madrid</t>
  </si>
  <si>
    <t>Bayer Leverkusen x Paris Saint-Germain</t>
  </si>
  <si>
    <t>Villarreal x Manchester City</t>
  </si>
  <si>
    <t>PSV Eindhoven x Napoli</t>
  </si>
  <si>
    <t>Copenhagen x Borussia Dortmund</t>
  </si>
  <si>
    <t>Union Saint-Gilloise x Internazionale</t>
  </si>
  <si>
    <t>Newcastle x Benfica</t>
  </si>
  <si>
    <t>Galatasaray x Bodö/Glimt</t>
  </si>
  <si>
    <t>Athletic Bilbao x Qarabag</t>
  </si>
  <si>
    <t>Chelsea x Ajax</t>
  </si>
  <si>
    <t>Atalanta x Slavia Praga</t>
  </si>
  <si>
    <t>Eintracht Frankfurt x Liverpool</t>
  </si>
  <si>
    <t>Sporting x Olympique de Marselha</t>
  </si>
  <si>
    <t>Monaco x Tottenham</t>
  </si>
  <si>
    <t>Real Madrid x Juventus</t>
  </si>
  <si>
    <t>Bayern de Munique x Club Brugge</t>
  </si>
  <si>
    <t>Napoli x Eintracht Frankfurt</t>
  </si>
  <si>
    <t>Slavia Praga x Arsenal</t>
  </si>
  <si>
    <t>Atlético de Madrid x Union Saint-Gilloise</t>
  </si>
  <si>
    <t>Juventus x Sporting</t>
  </si>
  <si>
    <t>Tottenham x Copenhagen</t>
  </si>
  <si>
    <t>Olympiacos x PSV Eindhoven</t>
  </si>
  <si>
    <t>Bodö/Glimt x Monaco</t>
  </si>
  <si>
    <t>Qarabag x Chelsea</t>
  </si>
  <si>
    <t>Pafos x Villarreal</t>
  </si>
  <si>
    <t>Manchester City x Borussia Dortmund</t>
  </si>
  <si>
    <t>Internazionale x Kairat</t>
  </si>
  <si>
    <t>Benfica x Bayer Leverkusen</t>
  </si>
  <si>
    <t>Club Brugge x Barcelona</t>
  </si>
  <si>
    <t>Ajax x Galatasaray</t>
  </si>
  <si>
    <t>Olympique de Marselha x Atalanta</t>
  </si>
  <si>
    <t>Newcastle x Athletic Bilbao</t>
  </si>
  <si>
    <t>Ajax x Benfica</t>
  </si>
  <si>
    <t>Galatasaray x Union Saint-Gilloise</t>
  </si>
  <si>
    <t>Manchester City x Bayer Leverkusen</t>
  </si>
  <si>
    <t>Borussia Dortmund x Villarreal</t>
  </si>
  <si>
    <t>Napoli x Qarabag</t>
  </si>
  <si>
    <t>Slavia Praga x Athletic Bilbao</t>
  </si>
  <si>
    <t>Bodö/Glimt x Juventus</t>
  </si>
  <si>
    <t>Olympique de Marselha x Newcastle</t>
  </si>
  <si>
    <t>Copenhagen x Kairat</t>
  </si>
  <si>
    <t>Pafos x Monaco</t>
  </si>
  <si>
    <t>Paris Saint-Germain x Tottenham</t>
  </si>
  <si>
    <t>Liverpool x PSV Eindhoven</t>
  </si>
  <si>
    <t>Arsenal x Bayern de Munique</t>
  </si>
  <si>
    <t>Atlético de Madrid x Internazionale</t>
  </si>
  <si>
    <t>Eintracht Frankfurt x Atalanta</t>
  </si>
  <si>
    <t>Sporting x Club Brugge</t>
  </si>
  <si>
    <t>Olympiacos x Real Madrid</t>
  </si>
  <si>
    <t>Kairat x Olympiacos</t>
  </si>
  <si>
    <t>Bayern de Munique x Sporting</t>
  </si>
  <si>
    <t>Internazionale x Liverpool</t>
  </si>
  <si>
    <t>Barcelona x Eintracht Frankfurt</t>
  </si>
  <si>
    <t>Atalanta x Chelsea</t>
  </si>
  <si>
    <t>Tottenham x Slavia Praga</t>
  </si>
  <si>
    <t>PSV Eindhoven x Atlético de Madrid</t>
  </si>
  <si>
    <t>Monaco x Galatasaray</t>
  </si>
  <si>
    <t>Union Saint-Gilloise x Olympique de Marselha</t>
  </si>
  <si>
    <t>Villarreal x Copenhagen</t>
  </si>
  <si>
    <t>Qarabag x Ajax</t>
  </si>
  <si>
    <t>Borussia Dortmund x Bodö/Glimt</t>
  </si>
  <si>
    <t>Bayer Leverkusen x Newcastle</t>
  </si>
  <si>
    <t>Benfica x Napoli</t>
  </si>
  <si>
    <t>Juventus x Pafos</t>
  </si>
  <si>
    <t>Club Brugge x Arsenal</t>
  </si>
  <si>
    <t>Athletic Bilbao x Paris Saint-Germain</t>
  </si>
  <si>
    <t>Kairat x Club Brugge</t>
  </si>
  <si>
    <t>Bodö/Glimt x Manchester City</t>
  </si>
  <si>
    <t>Real Madrid x Monaco</t>
  </si>
  <si>
    <t>Internazionale x Arsenal</t>
  </si>
  <si>
    <t>Villarreal x Ajax</t>
  </si>
  <si>
    <t>Tottenham x Borussia Dortmund</t>
  </si>
  <si>
    <t>Sporting x Paris Saint-Germain</t>
  </si>
  <si>
    <t>Copenhagen x Napoli</t>
  </si>
  <si>
    <t>Galatasaray x Atlético de Madrid</t>
  </si>
  <si>
    <t>Qarabag x Eintracht Frankfurt</t>
  </si>
  <si>
    <t>Chelsea x Pafos</t>
  </si>
  <si>
    <t>Atalanta x Athletic Bilbao</t>
  </si>
  <si>
    <t>Juventus x Benfica</t>
  </si>
  <si>
    <t>Slavia Praga x Barcelona</t>
  </si>
  <si>
    <t>Olympique de Marselha x Liverpool</t>
  </si>
  <si>
    <t>Newcastle x PSV Eindhoven</t>
  </si>
  <si>
    <t>Bayern de Munique x Union Saint-Gilloise</t>
  </si>
  <si>
    <t>Pafos x Slavia Praga</t>
  </si>
  <si>
    <t>Paris Saint-Germain x Newcastle</t>
  </si>
  <si>
    <t>Manchester City x Galatasaray</t>
  </si>
  <si>
    <t>Liverpool x Qarabag</t>
  </si>
  <si>
    <t>Borussia Dortmund x Internazionale</t>
  </si>
  <si>
    <t>Barcelona x Copenhagen</t>
  </si>
  <si>
    <t>Arsenal x Kairat</t>
  </si>
  <si>
    <t>Bayer Leverkusen x Villarreal</t>
  </si>
  <si>
    <t>Atlético de Madrid x Bodö/Glimt</t>
  </si>
  <si>
    <t>Eintracht Frankfurt x Tottenham</t>
  </si>
  <si>
    <t>Club Brugge x Olympique de Marselha</t>
  </si>
  <si>
    <t>PSV Eindhoven x Bayern de Munique</t>
  </si>
  <si>
    <t>Monaco x Juventus</t>
  </si>
  <si>
    <t>Union Saint-Gilloise x Atalanta</t>
  </si>
  <si>
    <t>Athletic Bilbao x Sporting</t>
  </si>
  <si>
    <t>Ajax x Olympiacos</t>
  </si>
  <si>
    <t>Napoli x Chelsea</t>
  </si>
  <si>
    <t>Classificado em 1</t>
  </si>
  <si>
    <t>Classificado em 2</t>
  </si>
  <si>
    <t>Classificado em 3</t>
  </si>
  <si>
    <t>Classificado em 4</t>
  </si>
  <si>
    <t>Classificado em 5</t>
  </si>
  <si>
    <t>Classificado em 6</t>
  </si>
  <si>
    <t>Classificado em 7</t>
  </si>
  <si>
    <t>Classificado em 8</t>
  </si>
  <si>
    <t>Time Favorito</t>
  </si>
  <si>
    <t>faber22@gmail.com</t>
  </si>
  <si>
    <t>Villarreal</t>
  </si>
  <si>
    <t>Slavia Praga</t>
  </si>
  <si>
    <t>Kairat</t>
  </si>
  <si>
    <t>Kylian Mbappé</t>
  </si>
  <si>
    <t>Raphinha</t>
  </si>
  <si>
    <t>micviegas@gmail.com</t>
  </si>
  <si>
    <t>Harry Kane</t>
  </si>
  <si>
    <t>Vinícius Jr.</t>
  </si>
  <si>
    <t>felleite@gmail.com</t>
  </si>
  <si>
    <t>Erling Haaland</t>
  </si>
  <si>
    <t>Vitinha</t>
  </si>
  <si>
    <t>victor.soares@me.com</t>
  </si>
  <si>
    <t>Robert Lewandowski</t>
  </si>
  <si>
    <t>Lamine Yamal</t>
  </si>
  <si>
    <t>marcelbuainain@gmail.com</t>
  </si>
  <si>
    <t>Désiré Doué</t>
  </si>
  <si>
    <t>ranieri10@gmail.com</t>
  </si>
  <si>
    <t>gmpicca@gmail.com</t>
  </si>
  <si>
    <t xml:space="preserve">Ekitike </t>
  </si>
  <si>
    <t>rapasquali@gmail.com</t>
  </si>
  <si>
    <t>danielgevaerd@hotmail.com</t>
  </si>
  <si>
    <t>decarvalho.dan@gmail.com</t>
  </si>
  <si>
    <t>mfmagini@gmail.com</t>
  </si>
  <si>
    <t>Mohamed Salah</t>
  </si>
  <si>
    <t>leopicca@gmail.com</t>
  </si>
  <si>
    <t>Phil Foden</t>
  </si>
  <si>
    <t>gui_giron@hotmail.com</t>
  </si>
  <si>
    <t>Cole Palmer</t>
  </si>
  <si>
    <t>celsoribeiro44@gmail.com</t>
  </si>
  <si>
    <t>deco.fabricio5@gmail.com</t>
  </si>
  <si>
    <t>a.scarpa1910@gmail.com</t>
  </si>
  <si>
    <t>Eberechi Eze</t>
  </si>
  <si>
    <t>leoraposo@gmail.com</t>
  </si>
  <si>
    <t>enrico.vincioni@gmail.com</t>
  </si>
  <si>
    <t>Ousmane Dembélé</t>
  </si>
  <si>
    <t>sf2903@gmail.com</t>
  </si>
  <si>
    <t>João Pedro</t>
  </si>
  <si>
    <t>ivanfarha@hotmail.com</t>
  </si>
  <si>
    <t>gustavopstella@gmail.com</t>
  </si>
  <si>
    <t>Monaco (casa)</t>
  </si>
  <si>
    <t>Paris Saint-Germain (Visita)</t>
  </si>
  <si>
    <t>Paris Saint-Germain (casa)</t>
  </si>
  <si>
    <t>Monaco (Visita)</t>
  </si>
  <si>
    <t>Galatasaray (casa)</t>
  </si>
  <si>
    <t>Juventus (Visita)</t>
  </si>
  <si>
    <t>Juventus (casa)</t>
  </si>
  <si>
    <t>Galatasaray (Visita)</t>
  </si>
  <si>
    <t>CLASSIFICADO 2</t>
  </si>
  <si>
    <t>Benfica (casa)</t>
  </si>
  <si>
    <t>Real Madrid (Visita)</t>
  </si>
  <si>
    <t>Real Madrid (casa)</t>
  </si>
  <si>
    <t>Benfica (Visita)</t>
  </si>
  <si>
    <t>CLASSIFICADO 3</t>
  </si>
  <si>
    <t>Borussia Dortmund (casa)</t>
  </si>
  <si>
    <t>Atalanta (Visita)</t>
  </si>
  <si>
    <t>Atalanta (casa)</t>
  </si>
  <si>
    <t>Borussia Dortmund (Visita)</t>
  </si>
  <si>
    <t>CLASSIFICADO 4</t>
  </si>
  <si>
    <t>Qarabag (casa)</t>
  </si>
  <si>
    <t>Newcastle (Visita)</t>
  </si>
  <si>
    <t>Newcastle (casa)</t>
  </si>
  <si>
    <t>Qarabag (Visita)</t>
  </si>
  <si>
    <t>CLASSIFICADO 5</t>
  </si>
  <si>
    <t>Club Brugge (casa)</t>
  </si>
  <si>
    <t>Atlético de Madrid (Visita)</t>
  </si>
  <si>
    <t>Atlético de Madrid (casa)</t>
  </si>
  <si>
    <t>Club Brugge (Visita)</t>
  </si>
  <si>
    <t>CLASSIFICADO 6</t>
  </si>
  <si>
    <t>Bodö/Glimt (casa)</t>
  </si>
  <si>
    <t>Internazionale (Visita)</t>
  </si>
  <si>
    <t>Internazionale (casa)</t>
  </si>
  <si>
    <t>Bodö/Glimt (Visita)</t>
  </si>
  <si>
    <t>CLASSIFICADO 7</t>
  </si>
  <si>
    <t>Olympiacos (casa)</t>
  </si>
  <si>
    <t>Bayer Leverkusen (Visita)</t>
  </si>
  <si>
    <t>Bayer Leverkusen (casa)</t>
  </si>
  <si>
    <t>Olympiacos (Visita)</t>
  </si>
  <si>
    <t>CLASSIFICADO 8</t>
  </si>
  <si>
    <t>ascarpa2710@gmail.com</t>
  </si>
  <si>
    <t>Gui_giron@hotmail.com</t>
  </si>
  <si>
    <t>Manchester City (Visita)</t>
  </si>
  <si>
    <t>Liverpool (casa)</t>
  </si>
  <si>
    <t>Bayern de Munique (casa)</t>
  </si>
  <si>
    <t>Chelsea (Visita)</t>
  </si>
  <si>
    <t>Barcelona (casa)</t>
  </si>
  <si>
    <t>micviegas@hotmail.com</t>
  </si>
  <si>
    <t>Bayern de Munique (Visita)</t>
  </si>
  <si>
    <t>Chelsea (casa)</t>
  </si>
  <si>
    <t>Barcelona (Visita)</t>
  </si>
  <si>
    <t>Liverpool (Visita)</t>
  </si>
  <si>
    <t>Manchester City (casa)</t>
  </si>
  <si>
    <t>Tottenham (Visita)</t>
  </si>
  <si>
    <t>Tottenham (casa)</t>
  </si>
  <si>
    <t>Sporting (Visita)</t>
  </si>
  <si>
    <t>Sporting (casa)</t>
  </si>
  <si>
    <t>Arsenal (Visita)</t>
  </si>
  <si>
    <t>Arsenal (casa)</t>
  </si>
  <si>
    <t>sf2903@gnail.com</t>
  </si>
  <si>
    <t>Paris (Visita)</t>
  </si>
  <si>
    <t>Paris (casa)</t>
  </si>
  <si>
    <t>Inter (Visita)</t>
  </si>
  <si>
    <t>Inter (casa)</t>
  </si>
  <si>
    <t>Leoraposo@gmail.com</t>
  </si>
  <si>
    <t>Quem será o campeão?</t>
  </si>
  <si>
    <t>1ª Fase</t>
  </si>
  <si>
    <t>Tend. 1ª Fase</t>
  </si>
  <si>
    <t>Classif. 1ª Fase</t>
  </si>
  <si>
    <t>Tend. 8as</t>
  </si>
  <si>
    <t>Placar 8as</t>
  </si>
  <si>
    <t>Classif. 8as</t>
  </si>
  <si>
    <t>Fav. 8as</t>
  </si>
  <si>
    <t>Tend. 4as</t>
  </si>
  <si>
    <t>Placar 4as</t>
  </si>
  <si>
    <t>Tend. Semi</t>
  </si>
  <si>
    <t>Placar Semi</t>
  </si>
  <si>
    <t>Tend. Final</t>
  </si>
  <si>
    <t>Placar Final</t>
  </si>
  <si>
    <t>Super Clássico</t>
  </si>
  <si>
    <t>Peso por Confronto - Mata Mata</t>
  </si>
  <si>
    <t>PESOS</t>
  </si>
  <si>
    <t>Primeira Fase</t>
  </si>
  <si>
    <t>Playoffs 1 fase</t>
  </si>
  <si>
    <t>Oitavas</t>
  </si>
  <si>
    <t>Quartas</t>
  </si>
  <si>
    <t>Semi</t>
  </si>
  <si>
    <t>* se a final terminar empatada, e o apostador escolheu que campeão errado, receberá apenas 23,80 pontos</t>
  </si>
  <si>
    <t>(tendencia incluida)</t>
  </si>
  <si>
    <t>Tendência</t>
  </si>
  <si>
    <t>Classificado (cada)</t>
  </si>
  <si>
    <t>Ordem de classificado</t>
  </si>
  <si>
    <t>Placar</t>
  </si>
  <si>
    <t>n/a</t>
  </si>
  <si>
    <t>*Para cada classificado da primeira fase na posição correta, ganhará mais 2 pontos</t>
  </si>
  <si>
    <t>POSSIBILIDADE</t>
  </si>
  <si>
    <t>Jogo 1</t>
  </si>
  <si>
    <t>Jogo 2</t>
  </si>
  <si>
    <t>Classificado</t>
  </si>
  <si>
    <t>Total</t>
  </si>
  <si>
    <t>2 Placares Cravados + Classificado</t>
  </si>
  <si>
    <t>porcentagem peso</t>
  </si>
  <si>
    <t>1 Placar Cravado + 1 Tendência + Classificado</t>
  </si>
  <si>
    <t>1 Placar Cravado + Classificado</t>
  </si>
  <si>
    <t>FASE</t>
  </si>
  <si>
    <t>PTO</t>
  </si>
  <si>
    <t>PESO</t>
  </si>
  <si>
    <t>1 Placar Cravado</t>
  </si>
  <si>
    <t>Classif. 1a Fase</t>
  </si>
  <si>
    <t>2 Tendencias + Classificado</t>
  </si>
  <si>
    <t>Tendência 1 Fase</t>
  </si>
  <si>
    <t>Playoff 1 fase</t>
  </si>
  <si>
    <t>1 Tendência + Classificado</t>
  </si>
  <si>
    <t>2 Tendências</t>
  </si>
  <si>
    <t>1 Tendência</t>
  </si>
  <si>
    <t>1 Fase</t>
  </si>
  <si>
    <t>Times SuperClassico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</si>
</sst>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2E75B5"/>
      <name val="Arial"/>
    </font>
    <font>
      <sz val="10.0"/>
      <color rgb="FF2E75B5"/>
      <name val="Arial"/>
    </font>
    <font>
      <sz val="10.0"/>
      <color rgb="FF000000"/>
      <name val="Arial"/>
    </font>
    <font>
      <color theme="1"/>
      <name val="Arial"/>
      <scheme val="minor"/>
    </font>
    <font>
      <sz val="9.0"/>
      <color theme="1"/>
      <name val="Arial"/>
    </font>
    <font>
      <sz val="11.0"/>
      <color theme="1"/>
      <name val="Calibri"/>
    </font>
    <font>
      <b/>
      <sz val="11.0"/>
      <color rgb="FF000000"/>
      <name val="Oswald"/>
    </font>
    <font/>
    <font>
      <sz val="10.0"/>
      <color rgb="FF000000"/>
      <name val="Oswald"/>
    </font>
    <font>
      <b/>
      <sz val="10.0"/>
      <color rgb="FFFF0000"/>
      <name val="Arial"/>
    </font>
    <font>
      <sz val="11.0"/>
      <color rgb="FFFF0000"/>
      <name val="Calibri"/>
    </font>
    <font>
      <sz val="10.0"/>
      <color rgb="FFFF0000"/>
      <name val="Oswald"/>
    </font>
    <font>
      <sz val="10.0"/>
      <color rgb="FFFF0000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9.0"/>
      <color rgb="FF000000"/>
      <name val="&quot;Google Sans Mono&quot;"/>
    </font>
    <font>
      <b/>
      <color theme="1"/>
      <name val="Arial"/>
      <scheme val="minor"/>
    </font>
    <font>
      <color rgb="FFFFFFFF"/>
      <name val="Arial"/>
      <scheme val="minor"/>
    </font>
    <font>
      <color rgb="FF333333"/>
      <name val="Opensans"/>
    </font>
    <font>
      <color rgb="FF0000FF"/>
      <name val="Opensans"/>
    </font>
    <font>
      <sz val="8.0"/>
      <color rgb="FFBEBEBE"/>
      <name val="Opensans"/>
    </font>
    <font>
      <color rgb="FF333333"/>
      <name val="Arial"/>
    </font>
    <font>
      <color rgb="FF00FFFF"/>
      <name val="Opensans"/>
    </font>
    <font>
      <color rgb="FF999999"/>
      <name val="Opensans"/>
    </font>
  </fonts>
  <fills count="1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5B3F86"/>
        <bgColor rgb="FF5B3F86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FCFC"/>
        <bgColor rgb="FFFCFCFC"/>
      </patternFill>
    </fill>
  </fills>
  <borders count="35">
    <border/>
    <border>
      <left/>
      <right/>
      <top/>
      <bottom/>
    </border>
    <border>
      <top style="thin">
        <color rgb="FF000000"/>
      </top>
      <bottom style="thin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0" fillId="0" fontId="2" numFmtId="0" xfId="0" applyFont="1"/>
    <xf borderId="1" fillId="3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3" fillId="4" fontId="4" numFmtId="0" xfId="0" applyAlignment="1" applyBorder="1" applyFill="1" applyFont="1">
      <alignment horizontal="center"/>
    </xf>
    <xf borderId="3" fillId="0" fontId="4" numFmtId="0" xfId="0" applyAlignment="1" applyBorder="1" applyFont="1">
      <alignment horizontal="center"/>
    </xf>
    <xf borderId="3" fillId="4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4" fillId="0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5" fontId="3" numFmtId="0" xfId="0" applyAlignment="1" applyBorder="1" applyFill="1" applyFont="1">
      <alignment horizontal="center"/>
    </xf>
    <xf borderId="3" fillId="5" fontId="3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9" fillId="3" fontId="2" numFmtId="0" xfId="0" applyAlignment="1" applyBorder="1" applyFont="1">
      <alignment horizontal="center" vertical="center"/>
    </xf>
    <xf quotePrefix="1" borderId="3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11" fillId="4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8" numFmtId="10" xfId="0" applyFont="1" applyNumberFormat="1"/>
    <xf borderId="0" fillId="0" fontId="8" numFmtId="0" xfId="0" applyAlignment="1" applyFont="1">
      <alignment horizontal="center"/>
    </xf>
    <xf borderId="0" fillId="0" fontId="8" numFmtId="0" xfId="0" applyFont="1"/>
    <xf borderId="13" fillId="6" fontId="9" numFmtId="0" xfId="0" applyAlignment="1" applyBorder="1" applyFill="1" applyFont="1">
      <alignment horizontal="center" readingOrder="0" vertical="center"/>
    </xf>
    <xf borderId="14" fillId="0" fontId="10" numFmtId="0" xfId="0" applyBorder="1" applyFont="1"/>
    <xf borderId="15" fillId="0" fontId="10" numFmtId="0" xfId="0" applyBorder="1" applyFont="1"/>
    <xf borderId="3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/>
    </xf>
    <xf borderId="3" fillId="0" fontId="13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center" shrinkToFit="0" vertical="center" wrapText="1"/>
    </xf>
    <xf borderId="0" fillId="0" fontId="13" numFmtId="0" xfId="0" applyFont="1"/>
    <xf borderId="3" fillId="0" fontId="8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/>
    </xf>
    <xf borderId="3" fillId="0" fontId="13" numFmtId="0" xfId="0" applyAlignment="1" applyBorder="1" applyFont="1">
      <alignment horizontal="center"/>
    </xf>
    <xf borderId="16" fillId="6" fontId="9" numFmtId="0" xfId="0" applyAlignment="1" applyBorder="1" applyFont="1">
      <alignment horizontal="center" vertical="center"/>
    </xf>
    <xf borderId="12" fillId="0" fontId="10" numFmtId="0" xfId="0" applyBorder="1" applyFont="1"/>
    <xf borderId="11" fillId="0" fontId="10" numFmtId="0" xfId="0" applyBorder="1" applyFont="1"/>
    <xf borderId="16" fillId="0" fontId="2" numFmtId="0" xfId="0" applyAlignment="1" applyBorder="1" applyFont="1">
      <alignment horizontal="center"/>
    </xf>
    <xf borderId="16" fillId="0" fontId="1" numFmtId="0" xfId="0" applyAlignment="1" applyBorder="1" applyFont="1">
      <alignment horizontal="center" readingOrder="0"/>
    </xf>
    <xf borderId="16" fillId="0" fontId="2" numFmtId="0" xfId="0" applyAlignment="1" applyBorder="1" applyFont="1">
      <alignment horizontal="center" readingOrder="0"/>
    </xf>
    <xf borderId="16" fillId="0" fontId="15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49" xfId="0" applyAlignment="1" applyFont="1" applyNumberFormat="1">
      <alignment horizontal="center"/>
    </xf>
    <xf borderId="16" fillId="6" fontId="9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/>
    </xf>
    <xf borderId="3" fillId="0" fontId="15" numFmtId="0" xfId="0" applyAlignment="1" applyBorder="1" applyFont="1">
      <alignment horizontal="center"/>
    </xf>
    <xf borderId="16" fillId="0" fontId="15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3" fillId="0" fontId="15" numFmtId="0" xfId="0" applyAlignment="1" applyBorder="1" applyFont="1">
      <alignment horizontal="center" readingOrder="0"/>
    </xf>
    <xf borderId="17" fillId="6" fontId="9" numFmtId="0" xfId="0" applyAlignment="1" applyBorder="1" applyFont="1">
      <alignment horizontal="center" readingOrder="0" vertical="center"/>
    </xf>
    <xf borderId="18" fillId="6" fontId="9" numFmtId="0" xfId="0" applyAlignment="1" applyBorder="1" applyFont="1">
      <alignment horizontal="center" vertical="center"/>
    </xf>
    <xf borderId="18" fillId="6" fontId="9" numFmtId="0" xfId="0" applyAlignment="1" applyBorder="1" applyFont="1">
      <alignment horizontal="center" readingOrder="0" vertical="center"/>
    </xf>
    <xf borderId="3" fillId="0" fontId="11" numFmtId="49" xfId="0" applyAlignment="1" applyBorder="1" applyFont="1" applyNumberFormat="1">
      <alignment horizontal="center" shrinkToFit="0" vertical="center" wrapText="1"/>
    </xf>
    <xf borderId="19" fillId="0" fontId="10" numFmtId="0" xfId="0" applyBorder="1" applyFont="1"/>
    <xf borderId="16" fillId="0" fontId="8" numFmtId="0" xfId="0" applyAlignment="1" applyBorder="1" applyFont="1">
      <alignment horizontal="center"/>
    </xf>
    <xf borderId="16" fillId="0" fontId="8" numFmtId="0" xfId="0" applyAlignment="1" applyBorder="1" applyFont="1">
      <alignment horizontal="center" readingOrder="0"/>
    </xf>
    <xf borderId="20" fillId="7" fontId="16" numFmtId="0" xfId="0" applyAlignment="1" applyBorder="1" applyFill="1" applyFont="1">
      <alignment horizontal="center"/>
    </xf>
    <xf borderId="21" fillId="7" fontId="8" numFmtId="0" xfId="0" applyAlignment="1" applyBorder="1" applyFont="1">
      <alignment readingOrder="0"/>
    </xf>
    <xf borderId="20" fillId="7" fontId="16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8" fontId="16" numFmtId="0" xfId="0" applyAlignment="1" applyFill="1" applyFont="1">
      <alignment horizontal="center" readingOrder="0"/>
    </xf>
    <xf borderId="0" fillId="6" fontId="9" numFmtId="0" xfId="0" applyAlignment="1" applyFont="1">
      <alignment horizontal="center" readingOrder="0"/>
    </xf>
    <xf borderId="3" fillId="0" fontId="17" numFmtId="0" xfId="0" applyAlignment="1" applyBorder="1" applyFont="1">
      <alignment horizontal="center" readingOrder="0" shrinkToFit="0" vertical="bottom" wrapText="0"/>
    </xf>
    <xf borderId="11" fillId="0" fontId="17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horizontal="center" readingOrder="0"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readingOrder="0" shrinkToFit="0" vertical="bottom" wrapText="0"/>
    </xf>
    <xf borderId="3" fillId="0" fontId="14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bottom" wrapText="0"/>
    </xf>
    <xf borderId="0" fillId="5" fontId="2" numFmtId="0" xfId="0" applyAlignment="1" applyFont="1">
      <alignment horizontal="center"/>
    </xf>
    <xf borderId="0" fillId="5" fontId="2" numFmtId="0" xfId="0" applyAlignment="1" applyFont="1">
      <alignment horizontal="center" readingOrder="0"/>
    </xf>
    <xf borderId="3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 readingOrder="0"/>
    </xf>
    <xf borderId="22" fillId="5" fontId="2" numFmtId="0" xfId="0" applyAlignment="1" applyBorder="1" applyFont="1">
      <alignment horizontal="center"/>
    </xf>
    <xf borderId="3" fillId="5" fontId="2" numFmtId="49" xfId="0" applyAlignment="1" applyBorder="1" applyFont="1" applyNumberFormat="1">
      <alignment horizontal="center"/>
    </xf>
    <xf borderId="3" fillId="5" fontId="2" numFmtId="49" xfId="0" applyAlignment="1" applyBorder="1" applyFont="1" applyNumberFormat="1">
      <alignment horizontal="center" readingOrder="0"/>
    </xf>
    <xf borderId="22" fillId="5" fontId="2" numFmtId="0" xfId="0" applyAlignment="1" applyBorder="1" applyFont="1">
      <alignment horizontal="center" readingOrder="0"/>
    </xf>
    <xf borderId="0" fillId="0" fontId="6" numFmtId="0" xfId="0" applyFont="1"/>
    <xf borderId="0" fillId="9" fontId="19" numFmtId="0" xfId="0" applyFill="1" applyFont="1"/>
    <xf borderId="0" fillId="9" fontId="19" numFmtId="0" xfId="0" applyFont="1"/>
    <xf borderId="0" fillId="0" fontId="1" numFmtId="49" xfId="0" applyAlignment="1" applyFont="1" applyNumberFormat="1">
      <alignment horizontal="center"/>
    </xf>
    <xf borderId="0" fillId="0" fontId="6" numFmtId="49" xfId="0" applyFont="1" applyNumberFormat="1"/>
    <xf borderId="0" fillId="0" fontId="1" numFmtId="0" xfId="0" applyFont="1"/>
    <xf borderId="0" fillId="10" fontId="20" numFmtId="0" xfId="0" applyAlignment="1" applyFill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3" fillId="11" fontId="2" numFmtId="0" xfId="0" applyAlignment="1" applyBorder="1" applyFill="1" applyFont="1">
      <alignment horizontal="center" readingOrder="0"/>
    </xf>
    <xf borderId="3" fillId="0" fontId="1" numFmtId="4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12" fontId="21" numFmtId="0" xfId="0" applyAlignment="1" applyFill="1" applyFont="1">
      <alignment horizontal="left" readingOrder="0" shrinkToFit="0" vertical="center" wrapText="0"/>
    </xf>
    <xf borderId="0" fillId="12" fontId="21" numFmtId="0" xfId="0" applyAlignment="1" applyFont="1">
      <alignment readingOrder="0" shrinkToFit="0" vertical="center" wrapText="0"/>
    </xf>
    <xf borderId="0" fillId="12" fontId="2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23" fillId="0" fontId="2" numFmtId="0" xfId="0" applyAlignment="1" applyBorder="1" applyFont="1">
      <alignment horizontal="center"/>
    </xf>
    <xf borderId="23" fillId="0" fontId="10" numFmtId="0" xfId="0" applyBorder="1" applyFont="1"/>
    <xf borderId="11" fillId="0" fontId="2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3" fillId="7" fontId="2" numFmtId="0" xfId="0" applyAlignment="1" applyBorder="1" applyFont="1">
      <alignment horizontal="center"/>
    </xf>
    <xf borderId="3" fillId="7" fontId="1" numFmtId="0" xfId="0" applyAlignment="1" applyBorder="1" applyFont="1">
      <alignment readingOrder="0"/>
    </xf>
    <xf borderId="3" fillId="7" fontId="1" numFmtId="0" xfId="0" applyBorder="1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3" fillId="0" fontId="1" numFmtId="0" xfId="0" applyBorder="1" applyFont="1"/>
    <xf borderId="3" fillId="0" fontId="1" numFmtId="2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horizontal="center"/>
    </xf>
    <xf borderId="0" fillId="0" fontId="1" numFmtId="9" xfId="0" applyFont="1" applyNumberFormat="1"/>
    <xf borderId="24" fillId="7" fontId="2" numFmtId="0" xfId="0" applyAlignment="1" applyBorder="1" applyFont="1">
      <alignment horizontal="center"/>
    </xf>
    <xf borderId="25" fillId="7" fontId="2" numFmtId="0" xfId="0" applyBorder="1" applyFont="1"/>
    <xf borderId="25" fillId="7" fontId="2" numFmtId="0" xfId="0" applyAlignment="1" applyBorder="1" applyFont="1">
      <alignment horizontal="center"/>
    </xf>
    <xf borderId="26" fillId="7" fontId="2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/>
    </xf>
    <xf borderId="3" fillId="0" fontId="1" numFmtId="2" xfId="0" applyAlignment="1" applyBorder="1" applyFont="1" applyNumberFormat="1">
      <alignment horizontal="center"/>
    </xf>
    <xf borderId="3" fillId="0" fontId="1" numFmtId="9" xfId="0" applyAlignment="1" applyBorder="1" applyFont="1" applyNumberFormat="1">
      <alignment readingOrder="0"/>
    </xf>
    <xf borderId="0" fillId="0" fontId="1" numFmtId="9" xfId="0" applyAlignment="1" applyFont="1" applyNumberFormat="1">
      <alignment horizontal="center" vertical="center"/>
    </xf>
    <xf borderId="27" fillId="0" fontId="1" numFmtId="2" xfId="0" applyAlignment="1" applyBorder="1" applyFont="1" applyNumberFormat="1">
      <alignment horizontal="center"/>
    </xf>
    <xf borderId="28" fillId="0" fontId="1" numFmtId="2" xfId="0" applyAlignment="1" applyBorder="1" applyFont="1" applyNumberFormat="1">
      <alignment horizontal="center"/>
    </xf>
    <xf borderId="3" fillId="13" fontId="1" numFmtId="0" xfId="0" applyAlignment="1" applyBorder="1" applyFill="1" applyFont="1">
      <alignment readingOrder="0"/>
    </xf>
    <xf borderId="3" fillId="13" fontId="1" numFmtId="0" xfId="0" applyBorder="1" applyFont="1"/>
    <xf borderId="3" fillId="0" fontId="1" numFmtId="2" xfId="0" applyBorder="1" applyFont="1" applyNumberFormat="1"/>
    <xf borderId="3" fillId="0" fontId="1" numFmtId="9" xfId="0" applyBorder="1" applyFont="1" applyNumberFormat="1"/>
    <xf borderId="29" fillId="0" fontId="1" numFmtId="0" xfId="0" applyAlignment="1" applyBorder="1" applyFont="1">
      <alignment horizontal="center"/>
    </xf>
    <xf borderId="10" fillId="0" fontId="1" numFmtId="0" xfId="0" applyBorder="1" applyFont="1"/>
    <xf borderId="30" fillId="0" fontId="1" numFmtId="0" xfId="0" applyAlignment="1" applyBorder="1" applyFont="1">
      <alignment horizontal="center"/>
    </xf>
    <xf borderId="31" fillId="0" fontId="1" numFmtId="2" xfId="0" applyAlignment="1" applyBorder="1" applyFont="1" applyNumberFormat="1">
      <alignment horizontal="center"/>
    </xf>
    <xf borderId="32" fillId="0" fontId="1" numFmtId="0" xfId="0" applyBorder="1" applyFont="1"/>
    <xf borderId="32" fillId="0" fontId="1" numFmtId="2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/>
    </xf>
    <xf borderId="33" fillId="0" fontId="1" numFmtId="2" xfId="0" applyAlignment="1" applyBorder="1" applyFont="1" applyNumberFormat="1">
      <alignment horizontal="center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3" fillId="14" fontId="2" numFmtId="0" xfId="0" applyAlignment="1" applyBorder="1" applyFill="1" applyFont="1">
      <alignment readingOrder="0"/>
    </xf>
    <xf borderId="34" fillId="15" fontId="22" numFmtId="0" xfId="0" applyAlignment="1" applyBorder="1" applyFill="1" applyFont="1">
      <alignment horizontal="left" readingOrder="0" shrinkToFit="0" wrapText="0"/>
    </xf>
    <xf borderId="34" fillId="15" fontId="23" numFmtId="0" xfId="0" applyAlignment="1" applyBorder="1" applyFont="1">
      <alignment horizontal="left" readingOrder="0"/>
    </xf>
    <xf borderId="34" fillId="15" fontId="24" numFmtId="0" xfId="0" applyAlignment="1" applyBorder="1" applyFont="1">
      <alignment readingOrder="0"/>
    </xf>
    <xf borderId="34" fillId="15" fontId="25" numFmtId="0" xfId="0" applyAlignment="1" applyBorder="1" applyFont="1">
      <alignment horizontal="left" readingOrder="0" shrinkToFit="0" wrapText="0"/>
    </xf>
    <xf borderId="34" fillId="15" fontId="26" numFmtId="0" xfId="0" applyAlignment="1" applyBorder="1" applyFont="1">
      <alignment horizontal="left" readingOrder="0"/>
    </xf>
    <xf borderId="34" fillId="15" fontId="27" numFmtId="0" xfId="0" applyAlignment="1" applyBorder="1" applyFont="1">
      <alignment horizontal="left"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3BE7B"/>
          <bgColor rgb="FF63BE7B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3" pivot="0" name="1a FASE-style">
      <tableStyleElement dxfId="1" type="headerRow"/>
      <tableStyleElement dxfId="2" type="firstRowStripe"/>
      <tableStyleElement dxfId="2" type="secondRowStripe"/>
    </tableStyle>
    <tableStyle count="4" pivot="0" name="Form_PrimeiraFase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Form_Playoff1aFase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Form_SuperClassico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Form_Oitavas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Form_Quartas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Form_Semi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Form_FINAL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0</xdr:colOff>
      <xdr:row>12</xdr:row>
      <xdr:rowOff>0</xdr:rowOff>
    </xdr:from>
    <xdr:ext cx="304800" cy="304800"/>
    <xdr:sp>
      <xdr:nvSpPr>
        <xdr:cNvPr descr="Resultado de imagem para bola champions league 2016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W119" displayName="Table_1" name="Table_1" id="1">
  <tableColumns count="23">
    <tableColumn name="PALPITE" id="1"/>
    <tableColumn name="OFICIAL" id="2"/>
    <tableColumn name="Leo Picca" id="3"/>
    <tableColumn name="Leo Raposo" id="4"/>
    <tableColumn name="Serginho" id="5"/>
    <tableColumn name="Biel" id="6"/>
    <tableColumn name="Rafinha" id="7"/>
    <tableColumn name="Ranieri" id="8"/>
    <tableColumn name="Nanel" id="9"/>
    <tableColumn name="Marcel" id="10"/>
    <tableColumn name="Dan" id="11"/>
    <tableColumn name="Celsinho" id="12"/>
    <tableColumn name="Enrico" id="13"/>
    <tableColumn name="Gui Giron" id="14"/>
    <tableColumn name="Scarpa" id="15"/>
    <tableColumn name="Victor" id="16"/>
    <tableColumn name="Faber" id="17"/>
    <tableColumn name="Felippe Leite" id="18"/>
    <tableColumn name="Muca" id="19"/>
    <tableColumn name="Feijão" id="20"/>
    <tableColumn name="Ivan" id="21"/>
    <tableColumn name="Michel" id="22"/>
    <tableColumn name="Deco" id="23"/>
  </tableColumns>
  <tableStyleInfo name="1a FASE-style" showColumnStripes="0" showFirstColumn="1" showLastColumn="1" showRowStripes="1"/>
</table>
</file>

<file path=xl/tables/table2.xml><?xml version="1.0" encoding="utf-8"?>
<table xmlns="http://schemas.openxmlformats.org/spreadsheetml/2006/main" ref="A1:FB22" displayName="Form_Responses" name="Form_Responses" id="2">
  <tableColumns count="158">
    <tableColumn name="Carimbo de data/hora" id="1"/>
    <tableColumn name="Endereço de e-mail" id="2"/>
    <tableColumn name="Quem é o palpiteiro?" id="3"/>
    <tableColumn name="PSV Eindhoven x Union Saint-Gilloise" id="4"/>
    <tableColumn name="Athletic Bilbao x Arsenal" id="5"/>
    <tableColumn name="Real Madrid x Olympique de Marselha" id="6"/>
    <tableColumn name="Benfica x Qarabag" id="7"/>
    <tableColumn name="Juventus x Borussia Dortmund" id="8"/>
    <tableColumn name="Tottenham x Villarreal" id="9"/>
    <tableColumn name="Olympiacos x Pafos" id="10"/>
    <tableColumn name="Slavia Praga x Bodö/Glimt" id="11"/>
    <tableColumn name="Paris Saint-Germain x Atalanta" id="12"/>
    <tableColumn name="Bayern de Munique x Chelsea" id="13"/>
    <tableColumn name="Liverpool x Atlético de Madrid" id="14"/>
    <tableColumn name="Ajax x Internazionale" id="15"/>
    <tableColumn name="Club Brugge x Monaco" id="16"/>
    <tableColumn name="Copenhagen x Bayer Leverkusen" id="17"/>
    <tableColumn name="Manchester City x Napoli" id="18"/>
    <tableColumn name="Eintracht Frankfurt x Galatasaray" id="19"/>
    <tableColumn name="Sporting x Kairat" id="20"/>
    <tableColumn name="Newcastle x Barcelona" id="21"/>
    <tableColumn name="Atalanta x Club Brugge" id="22"/>
    <tableColumn name="Kairat x Real Madrid" id="23"/>
    <tableColumn name="Internazionale x Slavia Praga" id="24"/>
    <tableColumn name="Chelsea x Benfica" id="25"/>
    <tableColumn name="Atlético de Madrid x Eintracht Frankfurt" id="26"/>
    <tableColumn name="Bodö/Glimt x Tottenham" id="27"/>
    <tableColumn name="Olympique de Marselha x Ajax" id="28"/>
    <tableColumn name="Galatasaray x Liverpool" id="29"/>
    <tableColumn name="Pafos x Bayern de Munique" id="30"/>
    <tableColumn name="Union Saint-Gilloise x Newcastle" id="31"/>
    <tableColumn name="Qarabag x Copenhagen" id="32"/>
    <tableColumn name="Arsenal x Olympiacos" id="33"/>
    <tableColumn name="Bayer Leverkusen x PSV Eindhoven" id="34"/>
    <tableColumn name="Villarreal x Juventus" id="35"/>
    <tableColumn name="Napoli x Sporting" id="36"/>
    <tableColumn name="Monaco x Manchester City" id="37"/>
    <tableColumn name="Borussia Dortmund x Athletic Bilbao" id="38"/>
    <tableColumn name="Barcelona x Paris Saint-Germain" id="39"/>
    <tableColumn name="Barcelona x Olympiacos" id="40"/>
    <tableColumn name="Kairat x Pafos" id="41"/>
    <tableColumn name="Arsenal x Atlético de Madrid" id="42"/>
    <tableColumn name="Bayer Leverkusen x Paris Saint-Germain" id="43"/>
    <tableColumn name="Villarreal x Manchester City" id="44"/>
    <tableColumn name="PSV Eindhoven x Napoli" id="45"/>
    <tableColumn name="Copenhagen x Borussia Dortmund" id="46"/>
    <tableColumn name="Union Saint-Gilloise x Internazionale" id="47"/>
    <tableColumn name="Newcastle x Benfica" id="48"/>
    <tableColumn name="Galatasaray x Bodö/Glimt" id="49"/>
    <tableColumn name="Athletic Bilbao x Qarabag" id="50"/>
    <tableColumn name="Chelsea x Ajax" id="51"/>
    <tableColumn name="Atalanta x Slavia Praga" id="52"/>
    <tableColumn name="Eintracht Frankfurt x Liverpool" id="53"/>
    <tableColumn name="Sporting x Olympique de Marselha" id="54"/>
    <tableColumn name="Monaco x Tottenham" id="55"/>
    <tableColumn name="Real Madrid x Juventus" id="56"/>
    <tableColumn name="Bayern de Munique x Club Brugge" id="57"/>
    <tableColumn name="Napoli x Eintracht Frankfurt" id="58"/>
    <tableColumn name="Slavia Praga x Arsenal" id="59"/>
    <tableColumn name="Paris Saint-Germain x Bayern de Munique" id="60"/>
    <tableColumn name="Liverpool x Real Madrid" id="61"/>
    <tableColumn name="Atlético de Madrid x Union Saint-Gilloise" id="62"/>
    <tableColumn name="Juventus x Sporting" id="63"/>
    <tableColumn name="Tottenham x Copenhagen" id="64"/>
    <tableColumn name="Olympiacos x PSV Eindhoven" id="65"/>
    <tableColumn name="Bodö/Glimt x Monaco" id="66"/>
    <tableColumn name="Qarabag x Chelsea" id="67"/>
    <tableColumn name="Pafos x Villarreal" id="68"/>
    <tableColumn name="Manchester City x Borussia Dortmund" id="69"/>
    <tableColumn name="Internazionale x Kairat" id="70"/>
    <tableColumn name="Benfica x Bayer Leverkusen" id="71"/>
    <tableColumn name="Club Brugge x Barcelona" id="72"/>
    <tableColumn name="Ajax x Galatasaray" id="73"/>
    <tableColumn name="Olympique de Marselha x Atalanta" id="74"/>
    <tableColumn name="Newcastle x Athletic Bilbao" id="75"/>
    <tableColumn name="Ajax x Benfica" id="76"/>
    <tableColumn name="Galatasaray x Union Saint-Gilloise" id="77"/>
    <tableColumn name="Manchester City x Bayer Leverkusen" id="78"/>
    <tableColumn name="Chelsea x Barcelona" id="79"/>
    <tableColumn name="Borussia Dortmund x Villarreal" id="80"/>
    <tableColumn name="Napoli x Qarabag" id="81"/>
    <tableColumn name="Slavia Praga x Athletic Bilbao" id="82"/>
    <tableColumn name="Bodö/Glimt x Juventus" id="83"/>
    <tableColumn name="Olympique de Marselha x Newcastle" id="84"/>
    <tableColumn name="Copenhagen x Kairat" id="85"/>
    <tableColumn name="Pafos x Monaco" id="86"/>
    <tableColumn name="Paris Saint-Germain x Tottenham" id="87"/>
    <tableColumn name="Liverpool x PSV Eindhoven" id="88"/>
    <tableColumn name="Arsenal x Bayern de Munique" id="89"/>
    <tableColumn name="Atlético de Madrid x Internazionale" id="90"/>
    <tableColumn name="Eintracht Frankfurt x Atalanta" id="91"/>
    <tableColumn name="Sporting x Club Brugge" id="92"/>
    <tableColumn name="Olympiacos x Real Madrid" id="93"/>
    <tableColumn name="Kairat x Olympiacos" id="94"/>
    <tableColumn name="Bayern de Munique x Sporting" id="95"/>
    <tableColumn name="Internazionale x Liverpool" id="96"/>
    <tableColumn name="Barcelona x Eintracht Frankfurt" id="97"/>
    <tableColumn name="Atalanta x Chelsea" id="98"/>
    <tableColumn name="Tottenham x Slavia Praga" id="99"/>
    <tableColumn name="PSV Eindhoven x Atlético de Madrid" id="100"/>
    <tableColumn name="Monaco x Galatasaray" id="101"/>
    <tableColumn name="Union Saint-Gilloise x Olympique de Marselha" id="102"/>
    <tableColumn name="Villarreal x Copenhagen" id="103"/>
    <tableColumn name="Qarabag x Ajax" id="104"/>
    <tableColumn name="Borussia Dortmund x Bodö/Glimt" id="105"/>
    <tableColumn name="Bayer Leverkusen x Newcastle" id="106"/>
    <tableColumn name="Benfica x Napoli" id="107"/>
    <tableColumn name="Juventus x Pafos" id="108"/>
    <tableColumn name="Club Brugge x Arsenal" id="109"/>
    <tableColumn name="Athletic Bilbao x Paris Saint-Germain" id="110"/>
    <tableColumn name="Real Madrid x Manchester City" id="111"/>
    <tableColumn name="Kairat x Club Brugge" id="112"/>
    <tableColumn name="Bodö/Glimt x Manchester City" id="113"/>
    <tableColumn name="Real Madrid x Monaco" id="114"/>
    <tableColumn name="Internazionale x Arsenal" id="115"/>
    <tableColumn name="Villarreal x Ajax" id="116"/>
    <tableColumn name="Tottenham x Borussia Dortmund" id="117"/>
    <tableColumn name="Sporting x Paris Saint-Germain" id="118"/>
    <tableColumn name="Olympiacos x Bayer Leverkusen" id="119"/>
    <tableColumn name="Copenhagen x Napoli" id="120"/>
    <tableColumn name="Galatasaray x Atlético de Madrid" id="121"/>
    <tableColumn name="Qarabag x Eintracht Frankfurt" id="122"/>
    <tableColumn name="Chelsea x Pafos" id="123"/>
    <tableColumn name="Atalanta x Athletic Bilbao" id="124"/>
    <tableColumn name="Juventus x Benfica" id="125"/>
    <tableColumn name="Slavia Praga x Barcelona" id="126"/>
    <tableColumn name="Olympique de Marselha x Liverpool" id="127"/>
    <tableColumn name="Newcastle x PSV Eindhoven" id="128"/>
    <tableColumn name="Bayern de Munique x Union Saint-Gilloise" id="129"/>
    <tableColumn name="Pafos x Slavia Praga" id="130"/>
    <tableColumn name="Paris Saint-Germain x Newcastle" id="131"/>
    <tableColumn name="Manchester City x Galatasaray" id="132"/>
    <tableColumn name="Liverpool x Qarabag" id="133"/>
    <tableColumn name="Borussia Dortmund x Internazionale" id="134"/>
    <tableColumn name="Barcelona x Copenhagen" id="135"/>
    <tableColumn name="Arsenal x Kairat" id="136"/>
    <tableColumn name="Bayer Leverkusen x Villarreal" id="137"/>
    <tableColumn name="Atlético de Madrid x Bodö/Glimt" id="138"/>
    <tableColumn name="Benfica x Real Madrid" id="139"/>
    <tableColumn name="Eintracht Frankfurt x Tottenham" id="140"/>
    <tableColumn name="Club Brugge x Olympique de Marselha" id="141"/>
    <tableColumn name="PSV Eindhoven x Bayern de Munique" id="142"/>
    <tableColumn name="Monaco x Juventus" id="143"/>
    <tableColumn name="Union Saint-Gilloise x Atalanta" id="144"/>
    <tableColumn name="Athletic Bilbao x Sporting" id="145"/>
    <tableColumn name="Ajax x Olympiacos" id="146"/>
    <tableColumn name="Napoli x Chelsea" id="147"/>
    <tableColumn name="Classificado em 1" id="148"/>
    <tableColumn name="Classificado em 2" id="149"/>
    <tableColumn name="Classificado em 3" id="150"/>
    <tableColumn name="Classificado em 4" id="151"/>
    <tableColumn name="Classificado em 5" id="152"/>
    <tableColumn name="Classificado em 6" id="153"/>
    <tableColumn name="Classificado em 7" id="154"/>
    <tableColumn name="Classificado em 8" id="155"/>
    <tableColumn name="Artilheiro" id="156"/>
    <tableColumn name="Garçom" id="157"/>
    <tableColumn name="Time Favorito" id="158"/>
  </tableColumns>
  <tableStyleInfo name="Form_PrimeiraFase-style" showColumnStripes="0" showFirstColumn="1" showLastColumn="1" showRowStripes="1"/>
</table>
</file>

<file path=xl/tables/table3.xml><?xml version="1.0" encoding="utf-8"?>
<table xmlns="http://schemas.openxmlformats.org/spreadsheetml/2006/main" ref="A1:AQ22" displayName="Form_Responses2" name="Form_Responses2" id="3">
  <tableColumns count="43">
    <tableColumn name="Carimbo de data/hora" id="1"/>
    <tableColumn name="Endereço de e-mail" id="2"/>
    <tableColumn name="Quem é o palpiteiro?" id="3"/>
    <tableColumn name="Monaco (casa)" id="4"/>
    <tableColumn name="Paris Saint-Germain (Visita)" id="5"/>
    <tableColumn name="Paris Saint-Germain (casa)" id="6"/>
    <tableColumn name="Monaco (Visita)" id="7"/>
    <tableColumn name="CLASSIFICADO" id="8"/>
    <tableColumn name="Galatasaray (casa)" id="9"/>
    <tableColumn name="Juventus (Visita)" id="10"/>
    <tableColumn name="Juventus (casa)" id="11"/>
    <tableColumn name="Galatasaray (Visita)" id="12"/>
    <tableColumn name="CLASSIFICADO 2" id="13"/>
    <tableColumn name="Benfica (casa)" id="14"/>
    <tableColumn name="Real Madrid (Visita)" id="15"/>
    <tableColumn name="Real Madrid (casa)" id="16"/>
    <tableColumn name="Benfica (Visita)" id="17"/>
    <tableColumn name="CLASSIFICADO 3" id="18"/>
    <tableColumn name="Borussia Dortmund (casa)" id="19"/>
    <tableColumn name="Atalanta (Visita)" id="20"/>
    <tableColumn name="Atalanta (casa)" id="21"/>
    <tableColumn name="Borussia Dortmund (Visita)" id="22"/>
    <tableColumn name="CLASSIFICADO 4" id="23"/>
    <tableColumn name="Qarabag (casa)" id="24"/>
    <tableColumn name="Newcastle (Visita)" id="25"/>
    <tableColumn name="Newcastle (casa)" id="26"/>
    <tableColumn name="Qarabag (Visita)" id="27"/>
    <tableColumn name="CLASSIFICADO 5" id="28"/>
    <tableColumn name="Club Brugge (casa)" id="29"/>
    <tableColumn name="Atlético de Madrid (Visita)" id="30"/>
    <tableColumn name="Atlético de Madrid (casa)" id="31"/>
    <tableColumn name="Club Brugge (Visita)" id="32"/>
    <tableColumn name="CLASSIFICADO 6" id="33"/>
    <tableColumn name="Bodö/Glimt (casa)" id="34"/>
    <tableColumn name="Internazionale (Visita)" id="35"/>
    <tableColumn name="Internazionale (casa)" id="36"/>
    <tableColumn name="Bodö/Glimt (Visita)" id="37"/>
    <tableColumn name="CLASSIFICADO 7" id="38"/>
    <tableColumn name="Olympiacos (casa)" id="39"/>
    <tableColumn name="Bayer Leverkusen (Visita)" id="40"/>
    <tableColumn name="Bayer Leverkusen (casa)" id="41"/>
    <tableColumn name="Olympiacos (Visita)" id="42"/>
    <tableColumn name="CLASSIFICADO 8" id="43"/>
  </tableColumns>
  <tableStyleInfo name="Form_Playoff1aFase-style" showColumnStripes="0" showFirstColumn="1" showLastColumn="1" showRowStripes="1"/>
</table>
</file>

<file path=xl/tables/table4.xml><?xml version="1.0" encoding="utf-8"?>
<table xmlns="http://schemas.openxmlformats.org/spreadsheetml/2006/main" ref="A1:G111" displayName="Form_Responses7" name="Form_Responses7" id="4">
  <tableColumns count="7">
    <tableColumn name="Carimbo de data/hora" id="1"/>
    <tableColumn name="Endereço de e-mail" id="2"/>
    <tableColumn name="Quem é o palpiteiro?" id="3"/>
    <tableColumn name="Real Madrid (casa)" id="4"/>
    <tableColumn name="Manchester City (Visita)" id="5"/>
    <tableColumn name="Liverpool (casa)" id="6"/>
    <tableColumn name="Real Madrid (Visita)" id="7"/>
  </tableColumns>
  <tableStyleInfo name="Form_SuperClassico-style" showColumnStripes="0" showFirstColumn="1" showLastColumn="1" showRowStripes="1"/>
</table>
</file>

<file path=xl/tables/table5.xml><?xml version="1.0" encoding="utf-8"?>
<table xmlns="http://schemas.openxmlformats.org/spreadsheetml/2006/main" ref="A1:AQ22" displayName="Form_Responses8" name="Form_Responses8" id="5">
  <tableColumns count="43">
    <tableColumn name="Carimbo de data/hora" id="1"/>
    <tableColumn name="Endereço de e-mail" id="2"/>
    <tableColumn name="Quem é o palpiteiro?" id="3"/>
    <tableColumn name="Paris Saint-Germain (casa)" id="4"/>
    <tableColumn name="Chelsea (Visita)" id="5"/>
    <tableColumn name="Chelsea (casa)" id="6"/>
    <tableColumn name="Paris Saint-Germain (Visita)" id="7"/>
    <tableColumn name="CLASSIFICADO" id="8"/>
    <tableColumn name="Galatasaray (casa)" id="9"/>
    <tableColumn name="Liverpool (Visita)" id="10"/>
    <tableColumn name="Liverpool (casa)" id="11"/>
    <tableColumn name="Galatasaray (Visita)" id="12"/>
    <tableColumn name="CLASSIFICADO 2" id="13"/>
    <tableColumn name="Real Madrid (casa)" id="14"/>
    <tableColumn name="Manchester City (Visita)" id="15"/>
    <tableColumn name="Manchester City (casa)" id="16"/>
    <tableColumn name="Real Madrid (Visita)" id="17"/>
    <tableColumn name="CLASSIFICADO 3" id="18"/>
    <tableColumn name="Atalanta (casa)" id="19"/>
    <tableColumn name="Bayern de Munique (Visita)" id="20"/>
    <tableColumn name="Bayern de Munique (casa)" id="21"/>
    <tableColumn name="Atalanta (Visita)" id="22"/>
    <tableColumn name="CLASSIFICADO 4" id="23"/>
    <tableColumn name="Newcastle (casa)" id="24"/>
    <tableColumn name="Barcelona (Visita)" id="25"/>
    <tableColumn name="Barcelona (casa)" id="26"/>
    <tableColumn name="Newcastle (Visita)" id="27"/>
    <tableColumn name="CLASSIFICADO 5" id="28"/>
    <tableColumn name="Atlético de Madrid (casa)" id="29"/>
    <tableColumn name="Tottenham (Visita)" id="30"/>
    <tableColumn name="Tottenham (casa)" id="31"/>
    <tableColumn name="Atlético de Madrid (Visita)" id="32"/>
    <tableColumn name="CLASSIFICADO 6" id="33"/>
    <tableColumn name="Bodö/Glimt (casa)" id="34"/>
    <tableColumn name="Sporting (Visita)" id="35"/>
    <tableColumn name="Sporting (casa)" id="36"/>
    <tableColumn name="Bodö/Glimt (Visita)" id="37"/>
    <tableColumn name="CLASSIFICADO 7" id="38"/>
    <tableColumn name="Bayer Leverkusen (casa)" id="39"/>
    <tableColumn name="Arsenal (Visita)" id="40"/>
    <tableColumn name="Arsenal (casa)" id="41"/>
    <tableColumn name="Bayer Leverkusen (Visita)" id="42"/>
    <tableColumn name="CLASSIFICADO 8" id="43"/>
  </tableColumns>
  <tableStyleInfo name="Form_Oitavas-style" showColumnStripes="0" showFirstColumn="1" showLastColumn="1" showRowStripes="1"/>
</table>
</file>

<file path=xl/tables/table6.xml><?xml version="1.0" encoding="utf-8"?>
<table xmlns="http://schemas.openxmlformats.org/spreadsheetml/2006/main" ref="A1:W5" displayName="Form_Responses3" name="Form_Responses3" id="6">
  <tableColumns count="23">
    <tableColumn name="Carimbo de data/hora" id="1"/>
    <tableColumn name="Endereço de e-mail" id="2"/>
    <tableColumn name="Quem é o palpiteiro?" id="3"/>
    <tableColumn name="Paris Saint-Germain (casa)" id="4"/>
    <tableColumn name="Liverpool (Visita)" id="5"/>
    <tableColumn name="Liverpool (casa)" id="6"/>
    <tableColumn name="Paris Saint-Germain (Visita)" id="7"/>
    <tableColumn name="CLASSIFICADO" id="8"/>
    <tableColumn name="Real Madrid (casa)" id="9"/>
    <tableColumn name="Bayern de Munique (Visita)" id="10"/>
    <tableColumn name="Bayern de Munique (casa)" id="11"/>
    <tableColumn name="Real Madrid (Visita)" id="12"/>
    <tableColumn name="CLASSIFICADO 2" id="13"/>
    <tableColumn name="Barcelona (casa)" id="14"/>
    <tableColumn name="Atlético de Madrid (Visita)" id="15"/>
    <tableColumn name="Atlético de Madrid (casa)" id="16"/>
    <tableColumn name="Barcelona (Visita)" id="17"/>
    <tableColumn name="CLASSIFICADO 3" id="18"/>
    <tableColumn name="Sporting (casa)" id="19"/>
    <tableColumn name="Arsenal (Visita)" id="20"/>
    <tableColumn name="Arsenal (casa)" id="21"/>
    <tableColumn name="Sporting (Visita)" id="22"/>
    <tableColumn name="CLASSIFICADO 4" id="23"/>
  </tableColumns>
  <tableStyleInfo name="Form_Quartas-style" showColumnStripes="0" showFirstColumn="1" showLastColumn="1" showRowStripes="1"/>
</table>
</file>

<file path=xl/tables/table7.xml><?xml version="1.0" encoding="utf-8"?>
<table xmlns="http://schemas.openxmlformats.org/spreadsheetml/2006/main" ref="A1:M21" displayName="Form_Responses5" name="Form_Responses5" id="7">
  <tableColumns count="13">
    <tableColumn name="Carimbo de data/hora" id="1"/>
    <tableColumn name="Endereço de e-mail" id="2"/>
    <tableColumn name="Quem é o palpiteiro?" id="3"/>
    <tableColumn name="Arsenal (casa)" id="4"/>
    <tableColumn name="Paris (Visita)" id="5"/>
    <tableColumn name="Paris (casa)" id="6"/>
    <tableColumn name="Arsenal (Visita)" id="7"/>
    <tableColumn name="CLASSIFICADO" id="8"/>
    <tableColumn name="Barcelona (casa)" id="9"/>
    <tableColumn name="Inter (Visita)" id="10"/>
    <tableColumn name="Inter (casa)" id="11"/>
    <tableColumn name="Barcelona (Visita)" id="12"/>
    <tableColumn name="CLASSIFICADO 2" id="13"/>
  </tableColumns>
  <tableStyleInfo name="Form_Semi-style" showColumnStripes="0" showFirstColumn="1" showLastColumn="1" showRowStripes="1"/>
</table>
</file>

<file path=xl/tables/table8.xml><?xml version="1.0" encoding="utf-8"?>
<table xmlns="http://schemas.openxmlformats.org/spreadsheetml/2006/main" ref="A1:F20" displayName="Form_Responses6" name="Form_Responses6" id="8">
  <tableColumns count="6">
    <tableColumn name="Carimbo de data/hora" id="1"/>
    <tableColumn name="Endereço de e-mail" id="2"/>
    <tableColumn name="Quem é o palpiteiro?" id="3"/>
    <tableColumn name="Paris" id="4"/>
    <tableColumn name="Inter" id="5"/>
    <tableColumn name="Quem será o campeão?" id="6"/>
  </tableColumns>
  <tableStyleInfo name="Form_F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Col="1"/>
  <cols>
    <col customWidth="1" min="1" max="1" width="14.13"/>
    <col customWidth="1" min="2" max="2" width="19.5" outlineLevel="1"/>
    <col customWidth="1" min="3" max="3" width="17.0"/>
    <col customWidth="1" min="4" max="4" width="16.5"/>
    <col customWidth="1" min="5" max="5" width="16.38"/>
    <col customWidth="1" min="6" max="16" width="17.25"/>
    <col customWidth="1" min="17" max="23" width="15.75"/>
    <col customWidth="1" min="24" max="24" width="11.25"/>
    <col customWidth="1" min="25" max="25" width="12.0"/>
    <col customWidth="1" min="26" max="37" width="10.38"/>
    <col customWidth="1" min="38" max="42" width="8.38"/>
    <col customWidth="1" min="43" max="44" width="7.63"/>
  </cols>
  <sheetData>
    <row r="1" ht="12.75" customHeight="1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2.75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5" t="s">
        <v>19</v>
      </c>
      <c r="U2" s="6" t="s">
        <v>20</v>
      </c>
      <c r="V2" s="6" t="s">
        <v>21</v>
      </c>
      <c r="W2" s="6" t="s">
        <v>22</v>
      </c>
      <c r="X2" s="2" t="str">
        <f t="shared" ref="X2:AR2" si="1">"Ptos "&amp;C2</f>
        <v>Ptos Leo Picca</v>
      </c>
      <c r="Y2" s="2" t="str">
        <f t="shared" si="1"/>
        <v>Ptos Leo Raposo</v>
      </c>
      <c r="Z2" s="2" t="str">
        <f t="shared" si="1"/>
        <v>Ptos Serginho</v>
      </c>
      <c r="AA2" s="2" t="str">
        <f t="shared" si="1"/>
        <v>Ptos Biel</v>
      </c>
      <c r="AB2" s="2" t="str">
        <f t="shared" si="1"/>
        <v>Ptos Rafinha</v>
      </c>
      <c r="AC2" s="2" t="str">
        <f t="shared" si="1"/>
        <v>Ptos Ranieri</v>
      </c>
      <c r="AD2" s="2" t="str">
        <f t="shared" si="1"/>
        <v>Ptos Nanel</v>
      </c>
      <c r="AE2" s="2" t="str">
        <f t="shared" si="1"/>
        <v>Ptos Marcel</v>
      </c>
      <c r="AF2" s="2" t="str">
        <f t="shared" si="1"/>
        <v>Ptos Dan</v>
      </c>
      <c r="AG2" s="2" t="str">
        <f t="shared" si="1"/>
        <v>Ptos Celsinho</v>
      </c>
      <c r="AH2" s="2" t="str">
        <f t="shared" si="1"/>
        <v>Ptos Enrico</v>
      </c>
      <c r="AI2" s="2" t="str">
        <f t="shared" si="1"/>
        <v>Ptos Gui Giron</v>
      </c>
      <c r="AJ2" s="2" t="str">
        <f t="shared" si="1"/>
        <v>Ptos Scarpa</v>
      </c>
      <c r="AK2" s="2" t="str">
        <f t="shared" si="1"/>
        <v>Ptos Victor</v>
      </c>
      <c r="AL2" s="2" t="str">
        <f t="shared" si="1"/>
        <v>Ptos Faber</v>
      </c>
      <c r="AM2" s="2" t="str">
        <f t="shared" si="1"/>
        <v>Ptos Felippe Leite</v>
      </c>
      <c r="AN2" s="2" t="str">
        <f t="shared" si="1"/>
        <v>Ptos Muca</v>
      </c>
      <c r="AO2" s="2" t="str">
        <f t="shared" si="1"/>
        <v>Ptos Feijão</v>
      </c>
      <c r="AP2" s="2" t="str">
        <f t="shared" si="1"/>
        <v>Ptos Ivan</v>
      </c>
      <c r="AQ2" s="2" t="str">
        <f t="shared" si="1"/>
        <v>Ptos Michel</v>
      </c>
      <c r="AR2" s="2" t="str">
        <f t="shared" si="1"/>
        <v>Ptos Deco</v>
      </c>
    </row>
    <row r="3" ht="12.75" customHeight="1">
      <c r="A3" s="2"/>
      <c r="B3" s="3"/>
      <c r="C3" s="2">
        <f t="shared" ref="C3:W3" si="2">SUM(X6:X166)</f>
        <v>83.1</v>
      </c>
      <c r="D3" s="2">
        <f t="shared" si="2"/>
        <v>95</v>
      </c>
      <c r="E3" s="2">
        <f t="shared" si="2"/>
        <v>102.6</v>
      </c>
      <c r="F3" s="2">
        <f t="shared" si="2"/>
        <v>93.55</v>
      </c>
      <c r="G3" s="2">
        <f t="shared" si="2"/>
        <v>95</v>
      </c>
      <c r="H3" s="2">
        <f t="shared" si="2"/>
        <v>91</v>
      </c>
      <c r="I3" s="2">
        <f t="shared" si="2"/>
        <v>92.5</v>
      </c>
      <c r="J3" s="2">
        <f t="shared" si="2"/>
        <v>93</v>
      </c>
      <c r="K3" s="2">
        <f t="shared" si="2"/>
        <v>91.85</v>
      </c>
      <c r="L3" s="2">
        <f t="shared" si="2"/>
        <v>90.15</v>
      </c>
      <c r="M3" s="2">
        <f t="shared" si="2"/>
        <v>90.15</v>
      </c>
      <c r="N3" s="2">
        <f t="shared" si="2"/>
        <v>103.7</v>
      </c>
      <c r="O3" s="2">
        <f t="shared" si="2"/>
        <v>91.8</v>
      </c>
      <c r="P3" s="2">
        <f t="shared" si="2"/>
        <v>100.65</v>
      </c>
      <c r="Q3" s="2">
        <f t="shared" si="2"/>
        <v>96.65</v>
      </c>
      <c r="R3" s="2">
        <f t="shared" si="2"/>
        <v>106.9</v>
      </c>
      <c r="S3" s="2">
        <f t="shared" si="2"/>
        <v>91.6</v>
      </c>
      <c r="T3" s="2">
        <f t="shared" si="2"/>
        <v>88.5</v>
      </c>
      <c r="U3" s="2">
        <f t="shared" si="2"/>
        <v>81.7</v>
      </c>
      <c r="V3" s="2">
        <f t="shared" si="2"/>
        <v>91.85</v>
      </c>
      <c r="W3" s="2">
        <f t="shared" si="2"/>
        <v>86.75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7"/>
      <c r="AR3" s="7"/>
    </row>
    <row r="4" ht="12.75" customHeight="1">
      <c r="A4" s="8" t="str">
        <f>'1a FASE'!A5</f>
        <v>ARTILHEIRO</v>
      </c>
      <c r="B4" s="8" t="str">
        <f>'1a FASE'!B5</f>
        <v/>
      </c>
      <c r="C4" s="8" t="str">
        <f>'1a FASE'!C5</f>
        <v>Kylian Mbappé</v>
      </c>
      <c r="D4" s="8" t="str">
        <f>'1a FASE'!D5</f>
        <v>Mohamed Salah</v>
      </c>
      <c r="E4" s="8" t="str">
        <f>'1a FASE'!E5</f>
        <v>João Pedro</v>
      </c>
      <c r="F4" s="8" t="str">
        <f>'1a FASE'!F5</f>
        <v>Ekitike </v>
      </c>
      <c r="G4" s="8" t="str">
        <f>'1a FASE'!G5</f>
        <v>Raphinha</v>
      </c>
      <c r="H4" s="8" t="str">
        <f>'1a FASE'!H5</f>
        <v>Robert Lewandowski</v>
      </c>
      <c r="I4" s="8" t="str">
        <f>'1a FASE'!I5</f>
        <v>Harry Kane</v>
      </c>
      <c r="J4" s="8" t="str">
        <f>'1a FASE'!J5</f>
        <v>Erling Haaland</v>
      </c>
      <c r="K4" s="8" t="str">
        <f>'1a FASE'!K5</f>
        <v>Raphinha</v>
      </c>
      <c r="L4" s="8" t="str">
        <f>'1a FASE'!L5</f>
        <v>Raphinha</v>
      </c>
      <c r="M4" s="8" t="str">
        <f>'1a FASE'!M5</f>
        <v>Erling Haaland</v>
      </c>
      <c r="N4" s="8" t="str">
        <f>'1a FASE'!N5</f>
        <v>Robert Lewandowski</v>
      </c>
      <c r="O4" s="8" t="str">
        <f>'1a FASE'!O5</f>
        <v>Robert Lewandowski</v>
      </c>
      <c r="P4" s="8" t="str">
        <f>'1a FASE'!P5</f>
        <v>Robert Lewandowski</v>
      </c>
      <c r="Q4" s="8" t="str">
        <f>'1a FASE'!Q5</f>
        <v>Kylian Mbappé</v>
      </c>
      <c r="R4" s="8" t="str">
        <f>'1a FASE'!R5</f>
        <v>Erling Haaland</v>
      </c>
      <c r="S4" s="8" t="str">
        <f>'1a FASE'!S5</f>
        <v>Erling Haaland</v>
      </c>
      <c r="T4" s="8" t="str">
        <f>'1a FASE'!T5</f>
        <v>Ousmane Dembélé</v>
      </c>
      <c r="U4" s="8" t="str">
        <f>'1a FASE'!U5</f>
        <v>Raphinha</v>
      </c>
      <c r="V4" s="8" t="str">
        <f>'1a FASE'!V5</f>
        <v>Harry Kane</v>
      </c>
      <c r="W4" s="8" t="str">
        <f>'1a FASE'!W5</f>
        <v>Kylian Mbappé</v>
      </c>
      <c r="X4" s="8">
        <f>+IF(C4=$B116,Pesos!$L$4,0)*IF(COUNTIF($C116:$W116,C4)=1,2,1)+IF(C4=$B4,Pesos!$L$4,0)*IF(COUNTIF($C116:$W116,C4)=1,2,1)</f>
        <v>0</v>
      </c>
      <c r="Y4" s="8">
        <f>+IF(D4=$B116,Pesos!$L$4,0)*IF(COUNTIF($C116:$W116,D4)=1,2,1)+IF(D4=$B4,Pesos!$L$4,0)*IF(COUNTIF($C116:$W116,D4)=1,2,1)</f>
        <v>0</v>
      </c>
      <c r="Z4" s="8">
        <f>+IF(E4=$B116,Pesos!$L$4,0)*IF(COUNTIF($C116:$W116,E4)=1,2,1)+IF(E4=$B4,Pesos!$L$4,0)*IF(COUNTIF($C116:$W116,E4)=1,2,1)</f>
        <v>0</v>
      </c>
      <c r="AA4" s="8">
        <f>+IF(F4=$B116,Pesos!$L$4,0)*IF(COUNTIF($C116:$W116,F4)=1,2,1)+IF(F4=$B4,Pesos!$L$4,0)*IF(COUNTIF($C116:$W116,F4)=1,2,1)</f>
        <v>0</v>
      </c>
      <c r="AB4" s="8">
        <f>+IF(G4=$B116,Pesos!$L$4,0)*IF(COUNTIF($C116:$W116,G4)=1,2,1)+IF(G4=$B4,Pesos!$L$4,0)*IF(COUNTIF($C116:$W116,G4)=1,2,1)</f>
        <v>0</v>
      </c>
      <c r="AC4" s="8">
        <f>+IF(H4=$B116,Pesos!$L$4,0)*IF(COUNTIF($C116:$W116,H4)=1,2,1)+IF(H4=$B4,Pesos!$L$4,0)*IF(COUNTIF($C116:$W116,H4)=1,2,1)</f>
        <v>0</v>
      </c>
      <c r="AD4" s="8">
        <f>+IF(I4=$B116,Pesos!$L$4,0)*IF(COUNTIF($C116:$W116,I4)=1,2,1)+IF(I4=$B4,Pesos!$L$4,0)*IF(COUNTIF($C116:$W116,I4)=1,2,1)</f>
        <v>0</v>
      </c>
      <c r="AE4" s="8">
        <f>+IF(J4=$B116,Pesos!$L$4,0)*IF(COUNTIF($C116:$W116,J4)=1,2,1)+IF(J4=$B4,Pesos!$L$4,0)*IF(COUNTIF($C116:$W116,J4)=1,2,1)</f>
        <v>0</v>
      </c>
      <c r="AF4" s="8">
        <f>+IF(K4=$B116,Pesos!$L$4,0)*IF(COUNTIF($C116:$W116,K4)=1,2,1)+IF(K4=$B4,Pesos!$L$4,0)*IF(COUNTIF($C116:$W116,K4)=1,2,1)</f>
        <v>0</v>
      </c>
      <c r="AG4" s="8">
        <f>+IF(L4=$B116,Pesos!$L$4,0)*IF(COUNTIF($C116:$W116,L4)=1,2,1)+IF(L4=$B4,Pesos!$L$4,0)*IF(COUNTIF($C116:$W116,L4)=1,2,1)</f>
        <v>0</v>
      </c>
      <c r="AH4" s="8">
        <f>+IF(M4=$B116,Pesos!$L$4,0)*IF(COUNTIF($C116:$W116,M4)=1,2,1)+IF(M4=$B4,Pesos!$L$4,0)*IF(COUNTIF($C116:$W116,M4)=1,2,1)</f>
        <v>0</v>
      </c>
      <c r="AI4" s="8">
        <f>+IF(N4=$B116,Pesos!$L$4,0)*IF(COUNTIF($C116:$W116,N4)=1,2,1)+IF(N4=$B4,Pesos!$L$4,0)*IF(COUNTIF($C116:$W116,N4)=1,2,1)</f>
        <v>0</v>
      </c>
      <c r="AJ4" s="8">
        <f>+IF(O4=$B116,Pesos!$L$4,0)*IF(COUNTIF($C116:$W116,O4)=1,2,1)+IF(O4=$B4,Pesos!$L$4,0)*IF(COUNTIF($C116:$W116,O4)=1,2,1)</f>
        <v>0</v>
      </c>
      <c r="AK4" s="8">
        <f>+IF(P4=$B116,Pesos!$L$4,0)*IF(COUNTIF($C116:$W116,P4)=1,2,1)+IF(P4=$B4,Pesos!$L$4,0)*IF(COUNTIF($C116:$W116,P4)=1,2,1)</f>
        <v>0</v>
      </c>
      <c r="AL4" s="8">
        <f>+IF(Q4=$B116,Pesos!$L$4,0)*IF(COUNTIF($C116:$W116,Q4)=1,2,1)+IF(Q4=$B4,Pesos!$L$4,0)*IF(COUNTIF($C116:$W116,Q4)=1,2,1)</f>
        <v>0</v>
      </c>
      <c r="AM4" s="8">
        <f>+IF(R4=$B116,Pesos!$L$4,0)*IF(COUNTIF($C116:$W116,R4)=1,2,1)+IF(R4=$B4,Pesos!$L$4,0)*IF(COUNTIF($C116:$W116,R4)=1,2,1)</f>
        <v>0</v>
      </c>
      <c r="AN4" s="8">
        <f>+IF(S4=$B116,Pesos!$L$4,0)*IF(COUNTIF($C116:$W116,S4)=1,2,1)+IF(S4=$B4,Pesos!$L$4,0)*IF(COUNTIF($C116:$W116,S4)=1,2,1)</f>
        <v>0</v>
      </c>
      <c r="AO4" s="8">
        <f>+IF(T4=$B116,Pesos!$L$4,0)*IF(COUNTIF($C116:$W116,T4)=1,2,1)+IF(T4=$B4,Pesos!$L$4,0)*IF(COUNTIF($C116:$W116,T4)=1,2,1)</f>
        <v>0</v>
      </c>
      <c r="AP4" s="8">
        <f>+IF(U4=$B116,Pesos!$L$4,0)*IF(COUNTIF($C116:$W116,U4)=1,2,1)+IF(U4=$B4,Pesos!$L$4,0)*IF(COUNTIF($C116:$W116,U4)=1,2,1)</f>
        <v>0</v>
      </c>
      <c r="AQ4" s="8">
        <f>+IF(V4=$B116,Pesos!$L$4,0)*IF(COUNTIF($C116:$W116,V4)=1,2,1)+IF(V4=$B4,Pesos!$L$4,0)*IF(COUNTIF($C116:$W116,V4)=1,2,1)</f>
        <v>0</v>
      </c>
      <c r="AR4" s="8">
        <f>+IF(W4=$B116,Pesos!$L$4,0)*IF(COUNTIF($C116:$W116,W4)=1,2,1)+IF(W4=$B4,Pesos!$L$4,0)*IF(COUNTIF($C116:$W116,W4)=1,2,1)</f>
        <v>0</v>
      </c>
    </row>
    <row r="5" ht="12.75" customHeight="1">
      <c r="A5" s="8" t="s">
        <v>23</v>
      </c>
      <c r="B5" s="8" t="str">
        <f>'1a FASE'!B6</f>
        <v/>
      </c>
      <c r="C5" s="9" t="str">
        <f>'1a FASE'!C6</f>
        <v>Phil Foden</v>
      </c>
      <c r="D5" s="9" t="str">
        <f>'1a FASE'!D6</f>
        <v>Mohamed Salah</v>
      </c>
      <c r="E5" s="9" t="str">
        <f>'1a FASE'!E6</f>
        <v>Lamine Yamal</v>
      </c>
      <c r="F5" s="9" t="str">
        <f>'1a FASE'!F6</f>
        <v>Raphinha</v>
      </c>
      <c r="G5" s="9" t="str">
        <f>'1a FASE'!G6</f>
        <v>Lamine Yamal</v>
      </c>
      <c r="H5" s="9" t="str">
        <f>'1a FASE'!H6</f>
        <v>Lamine Yamal</v>
      </c>
      <c r="I5" s="9" t="str">
        <f>'1a FASE'!I6</f>
        <v>Lamine Yamal</v>
      </c>
      <c r="J5" s="9" t="str">
        <f>'1a FASE'!J6</f>
        <v>Désiré Doué</v>
      </c>
      <c r="K5" s="9" t="str">
        <f>'1a FASE'!K6</f>
        <v>Lamine Yamal</v>
      </c>
      <c r="L5" s="9" t="str">
        <f>'1a FASE'!L6</f>
        <v>Cole Palmer</v>
      </c>
      <c r="M5" s="9" t="str">
        <f>'1a FASE'!M6</f>
        <v>Ousmane Dembélé</v>
      </c>
      <c r="N5" s="9" t="str">
        <f>'1a FASE'!N6</f>
        <v>Cole Palmer</v>
      </c>
      <c r="O5" s="9" t="str">
        <f>'1a FASE'!O6</f>
        <v>Eberechi Eze</v>
      </c>
      <c r="P5" s="9" t="str">
        <f>'1a FASE'!P6</f>
        <v>Lamine Yamal</v>
      </c>
      <c r="Q5" s="9" t="str">
        <f>'1a FASE'!Q6</f>
        <v>Raphinha</v>
      </c>
      <c r="R5" s="9" t="str">
        <f>'1a FASE'!R6</f>
        <v>Vitinha</v>
      </c>
      <c r="S5" s="9" t="str">
        <f>'1a FASE'!S6</f>
        <v>Mohamed Salah</v>
      </c>
      <c r="T5" s="9" t="str">
        <f>'1a FASE'!T6</f>
        <v>Raphinha</v>
      </c>
      <c r="U5" s="9" t="str">
        <f>'1a FASE'!U6</f>
        <v>Lamine Yamal</v>
      </c>
      <c r="V5" s="9" t="str">
        <f>'1a FASE'!V6</f>
        <v>Vinícius Jr.</v>
      </c>
      <c r="W5" s="9" t="str">
        <f>'1a FASE'!W6</f>
        <v>Vinícius Jr.</v>
      </c>
      <c r="X5" s="9">
        <f>+IF(C5=$B116,Pesos!$L$4,0)*IF(COUNTIF($C116:$W116,C5)=1,2,1)+IF(C5=$B5,Pesos!$L$4,0)*IF(COUNTIF($C116:$W116,C5)=1,2,1)</f>
        <v>0</v>
      </c>
      <c r="Y5" s="9">
        <f>+IF(D5=$B116,Pesos!$L$4,0)*IF(COUNTIF($C116:$W116,D5)=1,2,1)+IF(D5=$B5,Pesos!$L$4,0)*IF(COUNTIF($C116:$W116,D5)=1,2,1)</f>
        <v>0</v>
      </c>
      <c r="Z5" s="9">
        <f>+IF(E5=$B116,Pesos!$L$4,0)*IF(COUNTIF($C116:$W116,E5)=1,2,1)+IF(E5=$B5,Pesos!$L$4,0)*IF(COUNTIF($C116:$W116,E5)=1,2,1)</f>
        <v>0</v>
      </c>
      <c r="AA5" s="9">
        <f>+IF(F5=$B116,Pesos!$L$4,0)*IF(COUNTIF($C116:$W116,F5)=1,2,1)+IF(F5=$B5,Pesos!$L$4,0)*IF(COUNTIF($C116:$W116,F5)=1,2,1)</f>
        <v>0</v>
      </c>
      <c r="AB5" s="9">
        <f>+IF(G5=$B116,Pesos!$L$4,0)*IF(COUNTIF($C116:$W116,G5)=1,2,1)+IF(G5=$B5,Pesos!$L$4,0)*IF(COUNTIF($C116:$W116,G5)=1,2,1)</f>
        <v>0</v>
      </c>
      <c r="AC5" s="9">
        <f>+IF(H5=$B116,Pesos!$L$4,0)*IF(COUNTIF($C116:$W116,H5)=1,2,1)+IF(H5=$B5,Pesos!$L$4,0)*IF(COUNTIF($C116:$W116,H5)=1,2,1)</f>
        <v>0</v>
      </c>
      <c r="AD5" s="9">
        <f>+IF(I5=$B116,Pesos!$L$4,0)*IF(COUNTIF($C116:$W116,I5)=1,2,1)+IF(I5=$B5,Pesos!$L$4,0)*IF(COUNTIF($C116:$W116,I5)=1,2,1)</f>
        <v>0</v>
      </c>
      <c r="AE5" s="9">
        <f>+IF(J5=$B116,Pesos!$L$4,0)*IF(COUNTIF($C116:$W116,J5)=1,2,1)+IF(J5=$B5,Pesos!$L$4,0)*IF(COUNTIF($C116:$W116,J5)=1,2,1)</f>
        <v>0</v>
      </c>
      <c r="AF5" s="9">
        <f>+IF(K5=$B116,Pesos!$L$4,0)*IF(COUNTIF($C116:$W116,K5)=1,2,1)+IF(K5=$B5,Pesos!$L$4,0)*IF(COUNTIF($C116:$W116,K5)=1,2,1)</f>
        <v>0</v>
      </c>
      <c r="AG5" s="9">
        <f>+IF(L5=$B116,Pesos!$L$4,0)*IF(COUNTIF($C116:$W116,L5)=1,2,1)+IF(L5=$B5,Pesos!$L$4,0)*IF(COUNTIF($C116:$W116,L5)=1,2,1)</f>
        <v>0</v>
      </c>
      <c r="AH5" s="9">
        <f>+IF(M5=$B116,Pesos!$L$4,0)*IF(COUNTIF($C116:$W116,M5)=1,2,1)+IF(M5=$B5,Pesos!$L$4,0)*IF(COUNTIF($C116:$W116,M5)=1,2,1)</f>
        <v>0</v>
      </c>
      <c r="AI5" s="9">
        <f>+IF(N5=$B116,Pesos!$L$4,0)*IF(COUNTIF($C116:$W116,N5)=1,2,1)+IF(N5=$B5,Pesos!$L$4,0)*IF(COUNTIF($C116:$W116,N5)=1,2,1)</f>
        <v>0</v>
      </c>
      <c r="AJ5" s="9">
        <f>+IF(O5=$B116,Pesos!$L$4,0)*IF(COUNTIF($C116:$W116,O5)=1,2,1)+IF(O5=$B5,Pesos!$L$4,0)*IF(COUNTIF($C116:$W116,O5)=1,2,1)</f>
        <v>0</v>
      </c>
      <c r="AK5" s="9">
        <f>+IF(P5=$B116,Pesos!$L$4,0)*IF(COUNTIF($C116:$W116,P5)=1,2,1)+IF(P5=$B5,Pesos!$L$4,0)*IF(COUNTIF($C116:$W116,P5)=1,2,1)</f>
        <v>0</v>
      </c>
      <c r="AL5" s="9">
        <f>+IF(Q5=$B116,Pesos!$L$4,0)*IF(COUNTIF($C116:$W116,Q5)=1,2,1)+IF(Q5=$B5,Pesos!$L$4,0)*IF(COUNTIF($C116:$W116,Q5)=1,2,1)</f>
        <v>0</v>
      </c>
      <c r="AM5" s="9">
        <f>+IF(R5=$B116,Pesos!$L$4,0)*IF(COUNTIF($C116:$W116,R5)=1,2,1)+IF(R5=$B5,Pesos!$L$4,0)*IF(COUNTIF($C116:$W116,R5)=1,2,1)</f>
        <v>0</v>
      </c>
      <c r="AN5" s="9">
        <f>+IF(S5=$B116,Pesos!$L$4,0)*IF(COUNTIF($C116:$W116,S5)=1,2,1)+IF(S5=$B5,Pesos!$L$4,0)*IF(COUNTIF($C116:$W116,S5)=1,2,1)</f>
        <v>0</v>
      </c>
      <c r="AO5" s="9">
        <f>+IF(T5=$B116,Pesos!$L$4,0)*IF(COUNTIF($C116:$W116,T5)=1,2,1)+IF(T5=$B5,Pesos!$L$4,0)*IF(COUNTIF($C116:$W116,T5)=1,2,1)</f>
        <v>0</v>
      </c>
      <c r="AP5" s="9">
        <f>+IF(U5=$B116,Pesos!$L$4,0)*IF(COUNTIF($C116:$W116,U5)=1,2,1)+IF(U5=$B5,Pesos!$L$4,0)*IF(COUNTIF($C116:$W116,U5)=1,2,1)</f>
        <v>0</v>
      </c>
      <c r="AQ5" s="9">
        <f>+IF(V5=$B116,Pesos!$L$4,0)*IF(COUNTIF($C116:$W116,V5)=1,2,1)+IF(V5=$B5,Pesos!$L$4,0)*IF(COUNTIF($C116:$W116,V5)=1,2,1)</f>
        <v>0</v>
      </c>
      <c r="AR5" s="9">
        <f>+IF(W5=$B116,Pesos!$L$4,0)*IF(COUNTIF($C116:$W116,W5)=1,2,1)+IF(W5=$B5,Pesos!$L$4,0)*IF(COUNTIF($C116:$W116,W5)=1,2,1)</f>
        <v>0</v>
      </c>
    </row>
    <row r="6" ht="12.75" customHeight="1">
      <c r="A6" s="8" t="str">
        <f>'1a FASE'!A7</f>
        <v>TIME FAVORITO</v>
      </c>
      <c r="B6" s="8" t="str">
        <f>'1a FASE'!B7</f>
        <v/>
      </c>
      <c r="C6" s="8" t="str">
        <f>'1a FASE'!C7</f>
        <v>Real Madrid</v>
      </c>
      <c r="D6" s="8" t="str">
        <f>'1a FASE'!D7</f>
        <v>Barcelona</v>
      </c>
      <c r="E6" s="8" t="str">
        <f>'1a FASE'!E7</f>
        <v>Barcelona</v>
      </c>
      <c r="F6" s="8" t="str">
        <f>'1a FASE'!F7</f>
        <v>Liverpool</v>
      </c>
      <c r="G6" s="8" t="str">
        <f>'1a FASE'!G7</f>
        <v>Barcelona</v>
      </c>
      <c r="H6" s="8" t="str">
        <f>'1a FASE'!H7</f>
        <v>Barcelona</v>
      </c>
      <c r="I6" s="8" t="str">
        <f>'1a FASE'!I7</f>
        <v>Chelsea</v>
      </c>
      <c r="J6" s="8" t="str">
        <f>'1a FASE'!J7</f>
        <v>Paris Saint-Germain</v>
      </c>
      <c r="K6" s="8" t="str">
        <f>'1a FASE'!K7</f>
        <v>Liverpool</v>
      </c>
      <c r="L6" s="8" t="str">
        <f>'1a FASE'!L7</f>
        <v>Barcelona</v>
      </c>
      <c r="M6" s="8" t="str">
        <f>'1a FASE'!M7</f>
        <v>Liverpool</v>
      </c>
      <c r="N6" s="8" t="str">
        <f>'1a FASE'!N7</f>
        <v>Barcelona</v>
      </c>
      <c r="O6" s="8" t="str">
        <f>'1a FASE'!O7</f>
        <v>Barcelona</v>
      </c>
      <c r="P6" s="8" t="str">
        <f>'1a FASE'!P7</f>
        <v>Barcelona</v>
      </c>
      <c r="Q6" s="8" t="str">
        <f>'1a FASE'!Q7</f>
        <v>Barcelona</v>
      </c>
      <c r="R6" s="8" t="str">
        <f>'1a FASE'!R7</f>
        <v>Real Madrid</v>
      </c>
      <c r="S6" s="8" t="str">
        <f>'1a FASE'!S7</f>
        <v>Barcelona</v>
      </c>
      <c r="T6" s="8" t="str">
        <f>'1a FASE'!T7</f>
        <v>Paris Saint-Germain</v>
      </c>
      <c r="U6" s="8" t="str">
        <f>'1a FASE'!U7</f>
        <v>Barcelona</v>
      </c>
      <c r="V6" s="8" t="str">
        <f>'1a FASE'!V7</f>
        <v>Liverpool</v>
      </c>
      <c r="W6" s="8" t="str">
        <f>'1a FASE'!W7</f>
        <v>Barcelona</v>
      </c>
      <c r="X6" s="8">
        <f>IF(COUNTIF($B$151:$B$158,C6)=1,Pesos!$K$22,0)</f>
        <v>0</v>
      </c>
      <c r="Y6" s="8">
        <f>IF(COUNTIF($B$151:$B$158,D6)=1,Pesos!$K$22,0)</f>
        <v>2</v>
      </c>
      <c r="Z6" s="8">
        <f>IF(COUNTIF($B$151:$B$158,E6)=1,Pesos!$K$22,0)</f>
        <v>2</v>
      </c>
      <c r="AA6" s="8">
        <f>IF(COUNTIF($B$151:$B$158,F6)=1,Pesos!$K$22,0)</f>
        <v>2</v>
      </c>
      <c r="AB6" s="8">
        <f>IF(COUNTIF($B$151:$B$158,G6)=1,Pesos!$K$22,0)</f>
        <v>2</v>
      </c>
      <c r="AC6" s="8">
        <f>IF(COUNTIF($B$151:$B$158,H6)=1,Pesos!$K$22,0)</f>
        <v>2</v>
      </c>
      <c r="AD6" s="8">
        <f>IF(COUNTIF($B$151:$B$158,I6)=1,Pesos!$K$22,0)</f>
        <v>2</v>
      </c>
      <c r="AE6" s="8">
        <f>IF(COUNTIF($B$151:$B$158,J6)=1,Pesos!$K$22,0)</f>
        <v>0</v>
      </c>
      <c r="AF6" s="8">
        <f>IF(COUNTIF($B$151:$B$158,K6)=1,Pesos!$K$22,0)</f>
        <v>2</v>
      </c>
      <c r="AG6" s="8">
        <f>IF(COUNTIF($B$151:$B$158,L6)=1,Pesos!$K$22,0)</f>
        <v>2</v>
      </c>
      <c r="AH6" s="8">
        <f>IF(COUNTIF($B$151:$B$158,M6)=1,Pesos!$K$22,0)</f>
        <v>2</v>
      </c>
      <c r="AI6" s="8">
        <f>IF(COUNTIF($B$151:$B$158,N6)=1,Pesos!$K$22,0)</f>
        <v>2</v>
      </c>
      <c r="AJ6" s="8">
        <f>IF(COUNTIF($B$151:$B$158,O6)=1,Pesos!$K$22,0)</f>
        <v>2</v>
      </c>
      <c r="AK6" s="8">
        <f>IF(COUNTIF($B$151:$B$158,P6)=1,Pesos!$K$22,0)</f>
        <v>2</v>
      </c>
      <c r="AL6" s="8">
        <f>IF(COUNTIF($B$151:$B$158,Q6)=1,Pesos!$K$22,0)</f>
        <v>2</v>
      </c>
      <c r="AM6" s="8">
        <f>IF(COUNTIF($B$151:$B$158,R6)=1,Pesos!$K$22,0)</f>
        <v>0</v>
      </c>
      <c r="AN6" s="8">
        <f>IF(COUNTIF($B$151:$B$158,S6)=1,Pesos!$K$22,0)</f>
        <v>2</v>
      </c>
      <c r="AO6" s="8">
        <f>IF(COUNTIF($B$151:$B$158,T6)=1,Pesos!$K$22,0)</f>
        <v>0</v>
      </c>
      <c r="AP6" s="8">
        <f>IF(COUNTIF($B$151:$B$158,U6)=1,Pesos!$K$22,0)</f>
        <v>2</v>
      </c>
      <c r="AQ6" s="8">
        <f>IF(COUNTIF($B$151:$B$158,V6)=1,Pesos!$K$22,0)</f>
        <v>2</v>
      </c>
      <c r="AR6" s="8">
        <f>IF(COUNTIF($B$151:$B$158,W6)=1,Pesos!$K$22,0)</f>
        <v>2</v>
      </c>
    </row>
    <row r="7" ht="12.75" customHeight="1">
      <c r="A7" s="1" t="str">
        <f>'1a FASE'!A8</f>
        <v>Machtday 1</v>
      </c>
      <c r="B7" s="8" t="str">
        <f>'1a FASE'!B8</f>
        <v>Union Saint-Gilloise</v>
      </c>
      <c r="C7" s="10" t="str">
        <f>'1a FASE'!C8</f>
        <v>PSV Eindhoven</v>
      </c>
      <c r="D7" s="10" t="str">
        <f>'1a FASE'!D8</f>
        <v>PSV Eindhoven</v>
      </c>
      <c r="E7" s="10" t="str">
        <f>'1a FASE'!E8</f>
        <v>PSV Eindhoven</v>
      </c>
      <c r="F7" s="10" t="str">
        <f>'1a FASE'!F8</f>
        <v>PSV Eindhoven</v>
      </c>
      <c r="G7" s="10" t="str">
        <f>'1a FASE'!G8</f>
        <v>PSV Eindhoven</v>
      </c>
      <c r="H7" s="10" t="str">
        <f>'1a FASE'!H8</f>
        <v>PSV Eindhoven</v>
      </c>
      <c r="I7" s="10" t="str">
        <f>'1a FASE'!I8</f>
        <v>PSV Eindhoven</v>
      </c>
      <c r="J7" s="10" t="str">
        <f>'1a FASE'!J8</f>
        <v>PSV Eindhoven</v>
      </c>
      <c r="K7" s="10" t="str">
        <f>'1a FASE'!K8</f>
        <v>PSV Eindhoven</v>
      </c>
      <c r="L7" s="10" t="str">
        <f>'1a FASE'!L8</f>
        <v>PSV Eindhoven</v>
      </c>
      <c r="M7" s="10" t="str">
        <f>'1a FASE'!M8</f>
        <v>PSV Eindhoven</v>
      </c>
      <c r="N7" s="10" t="str">
        <f>'1a FASE'!N8</f>
        <v>PSV Eindhoven</v>
      </c>
      <c r="O7" s="10" t="str">
        <f>'1a FASE'!O8</f>
        <v>PSV Eindhoven</v>
      </c>
      <c r="P7" s="10" t="str">
        <f>'1a FASE'!P8</f>
        <v>PSV Eindhoven</v>
      </c>
      <c r="Q7" s="10" t="str">
        <f>'1a FASE'!Q8</f>
        <v>PSV Eindhoven</v>
      </c>
      <c r="R7" s="10" t="str">
        <f>'1a FASE'!R8</f>
        <v>PSV Eindhoven</v>
      </c>
      <c r="S7" s="10" t="str">
        <f>'1a FASE'!S8</f>
        <v>PSV Eindhoven</v>
      </c>
      <c r="T7" s="10" t="str">
        <f>'1a FASE'!T8</f>
        <v>PSV Eindhoven</v>
      </c>
      <c r="U7" s="10" t="str">
        <f>'1a FASE'!U8</f>
        <v>Empate</v>
      </c>
      <c r="V7" s="10" t="str">
        <f>'1a FASE'!V8</f>
        <v>PSV Eindhoven</v>
      </c>
      <c r="W7" s="10" t="str">
        <f>'1a FASE'!W8</f>
        <v>PSV Eindhoven</v>
      </c>
      <c r="X7" s="10">
        <f>+IF(C7=$B7,Pesos!$L$3,0)*IF(COUNTIF($C7:$W7,C7)=1,2,1)</f>
        <v>0</v>
      </c>
      <c r="Y7" s="10">
        <f>+IF(D7=$B7,Pesos!$L$3,0)*IF(COUNTIF($C7:$W7,D7)=1,2,1)</f>
        <v>0</v>
      </c>
      <c r="Z7" s="10">
        <f>+IF(E7=$B7,Pesos!$L$3,0)*IF(COUNTIF($C7:$W7,E7)=1,2,1)</f>
        <v>0</v>
      </c>
      <c r="AA7" s="10">
        <f>+IF(F7=$B7,Pesos!$L$3,0)*IF(COUNTIF($C7:$W7,F7)=1,2,1)</f>
        <v>0</v>
      </c>
      <c r="AB7" s="10">
        <f>+IF(G7=$B7,Pesos!$L$3,0)*IF(COUNTIF($C7:$W7,G7)=1,2,1)</f>
        <v>0</v>
      </c>
      <c r="AC7" s="10">
        <f>+IF(H7=$B7,Pesos!$L$3,0)*IF(COUNTIF($C7:$W7,H7)=1,2,1)</f>
        <v>0</v>
      </c>
      <c r="AD7" s="10">
        <f>+IF(I7=$B7,Pesos!$L$3,0)*IF(COUNTIF($C7:$W7,I7)=1,2,1)</f>
        <v>0</v>
      </c>
      <c r="AE7" s="10">
        <f>+IF(J7=$B7,Pesos!$L$3,0)*IF(COUNTIF($C7:$W7,J7)=1,2,1)</f>
        <v>0</v>
      </c>
      <c r="AF7" s="10">
        <f>+IF(K7=$B7,Pesos!$L$3,0)*IF(COUNTIF($C7:$W7,K7)=1,2,1)</f>
        <v>0</v>
      </c>
      <c r="AG7" s="10">
        <f>+IF(L7=$B7,Pesos!$L$3,0)*IF(COUNTIF($C7:$W7,L7)=1,2,1)</f>
        <v>0</v>
      </c>
      <c r="AH7" s="10">
        <f>+IF(M7=$B7,Pesos!$L$3,0)*IF(COUNTIF($C7:$W7,M7)=1,2,1)</f>
        <v>0</v>
      </c>
      <c r="AI7" s="10">
        <f>+IF(N7=$B7,Pesos!$L$3,0)*IF(COUNTIF($C7:$W7,N7)=1,2,1)</f>
        <v>0</v>
      </c>
      <c r="AJ7" s="10">
        <f>+IF(O7=$B7,Pesos!$L$3,0)*IF(COUNTIF($C7:$W7,O7)=1,2,1)</f>
        <v>0</v>
      </c>
      <c r="AK7" s="10">
        <f>+IF(P7=$B7,Pesos!$L$3,0)*IF(COUNTIF($C7:$W7,P7)=1,2,1)</f>
        <v>0</v>
      </c>
      <c r="AL7" s="10">
        <f>+IF(Q7=$B7,Pesos!$L$3,0)*IF(COUNTIF($C7:$W7,Q7)=1,2,1)</f>
        <v>0</v>
      </c>
      <c r="AM7" s="10">
        <f>+IF(R7=$B7,Pesos!$L$3,0)*IF(COUNTIF($C7:$W7,R7)=1,2,1)</f>
        <v>0</v>
      </c>
      <c r="AN7" s="10">
        <f>+IF(S7=$B7,Pesos!$L$3,0)*IF(COUNTIF($C7:$W7,S7)=1,2,1)</f>
        <v>0</v>
      </c>
      <c r="AO7" s="10">
        <f>+IF(T7=$B7,Pesos!$L$3,0)*IF(COUNTIF($C7:$W7,T7)=1,2,1)</f>
        <v>0</v>
      </c>
      <c r="AP7" s="10">
        <f>+IF(U7=$B7,Pesos!$L$3,0)*IF(COUNTIF($C7:$W7,U7)=1,2,1)</f>
        <v>0</v>
      </c>
      <c r="AQ7" s="10">
        <f>+IF(V7=$B7,Pesos!$L$3,0)*IF(COUNTIF($C7:$W7,V7)=1,2,1)</f>
        <v>0</v>
      </c>
      <c r="AR7" s="10">
        <f>+IF(W7=$B7,Pesos!$L$3,0)*IF(COUNTIF($C7:$W7,W7)=1,2,1)</f>
        <v>0</v>
      </c>
    </row>
    <row r="8" ht="12.75" customHeight="1">
      <c r="A8" s="1" t="str">
        <f>'1a FASE'!A9</f>
        <v>Machtday 1</v>
      </c>
      <c r="B8" s="8" t="str">
        <f>'1a FASE'!B9</f>
        <v>Arsenal</v>
      </c>
      <c r="C8" s="11" t="str">
        <f>'1a FASE'!C9</f>
        <v>Arsenal</v>
      </c>
      <c r="D8" s="11" t="str">
        <f>'1a FASE'!D9</f>
        <v>Arsenal</v>
      </c>
      <c r="E8" s="11" t="str">
        <f>'1a FASE'!E9</f>
        <v>Arsenal</v>
      </c>
      <c r="F8" s="11" t="str">
        <f>'1a FASE'!F9</f>
        <v>Arsenal</v>
      </c>
      <c r="G8" s="11" t="str">
        <f>'1a FASE'!G9</f>
        <v>Arsenal</v>
      </c>
      <c r="H8" s="11" t="str">
        <f>'1a FASE'!H9</f>
        <v>Arsenal</v>
      </c>
      <c r="I8" s="11" t="str">
        <f>'1a FASE'!I9</f>
        <v>Arsenal</v>
      </c>
      <c r="J8" s="11" t="str">
        <f>'1a FASE'!J9</f>
        <v>Arsenal</v>
      </c>
      <c r="K8" s="11" t="str">
        <f>'1a FASE'!K9</f>
        <v>Arsenal</v>
      </c>
      <c r="L8" s="11" t="str">
        <f>'1a FASE'!L9</f>
        <v>Arsenal</v>
      </c>
      <c r="M8" s="11" t="str">
        <f>'1a FASE'!M9</f>
        <v>Arsenal</v>
      </c>
      <c r="N8" s="11" t="str">
        <f>'1a FASE'!N9</f>
        <v>Arsenal</v>
      </c>
      <c r="O8" s="11" t="str">
        <f>'1a FASE'!O9</f>
        <v>Arsenal</v>
      </c>
      <c r="P8" s="11" t="str">
        <f>'1a FASE'!P9</f>
        <v>Empate</v>
      </c>
      <c r="Q8" s="11" t="str">
        <f>'1a FASE'!Q9</f>
        <v>Arsenal</v>
      </c>
      <c r="R8" s="11" t="str">
        <f>'1a FASE'!R9</f>
        <v>Arsenal</v>
      </c>
      <c r="S8" s="11" t="str">
        <f>'1a FASE'!S9</f>
        <v>Arsenal</v>
      </c>
      <c r="T8" s="11" t="str">
        <f>'1a FASE'!T9</f>
        <v>Arsenal</v>
      </c>
      <c r="U8" s="11" t="str">
        <f>'1a FASE'!U9</f>
        <v>Empate</v>
      </c>
      <c r="V8" s="11" t="str">
        <f>'1a FASE'!V9</f>
        <v>Arsenal</v>
      </c>
      <c r="W8" s="11" t="str">
        <f>'1a FASE'!W9</f>
        <v>Arsenal</v>
      </c>
      <c r="X8" s="11">
        <f>+IF(C8=$B8,Pesos!$L$3,0)*IF(COUNTIF($C8:$W8,C8)=1,2,1)</f>
        <v>0.85</v>
      </c>
      <c r="Y8" s="11">
        <f>+IF(D8=$B8,Pesos!$L$3,0)*IF(COUNTIF($C8:$W8,D8)=1,2,1)</f>
        <v>0.85</v>
      </c>
      <c r="Z8" s="11">
        <f>+IF(E8=$B8,Pesos!$L$3,0)*IF(COUNTIF($C8:$W8,E8)=1,2,1)</f>
        <v>0.85</v>
      </c>
      <c r="AA8" s="11">
        <f>+IF(F8=$B8,Pesos!$L$3,0)*IF(COUNTIF($C8:$W8,F8)=1,2,1)</f>
        <v>0.85</v>
      </c>
      <c r="AB8" s="11">
        <f>+IF(G8=$B8,Pesos!$L$3,0)*IF(COUNTIF($C8:$W8,G8)=1,2,1)</f>
        <v>0.85</v>
      </c>
      <c r="AC8" s="11">
        <f>+IF(H8=$B8,Pesos!$L$3,0)*IF(COUNTIF($C8:$W8,H8)=1,2,1)</f>
        <v>0.85</v>
      </c>
      <c r="AD8" s="11">
        <f>+IF(I8=$B8,Pesos!$L$3,0)*IF(COUNTIF($C8:$W8,I8)=1,2,1)</f>
        <v>0.85</v>
      </c>
      <c r="AE8" s="11">
        <f>+IF(J8=$B8,Pesos!$L$3,0)*IF(COUNTIF($C8:$W8,J8)=1,2,1)</f>
        <v>0.85</v>
      </c>
      <c r="AF8" s="11">
        <f>+IF(K8=$B8,Pesos!$L$3,0)*IF(COUNTIF($C8:$W8,K8)=1,2,1)</f>
        <v>0.85</v>
      </c>
      <c r="AG8" s="11">
        <f>+IF(L8=$B8,Pesos!$L$3,0)*IF(COUNTIF($C8:$W8,L8)=1,2,1)</f>
        <v>0.85</v>
      </c>
      <c r="AH8" s="11">
        <f>+IF(M8=$B8,Pesos!$L$3,0)*IF(COUNTIF($C8:$W8,M8)=1,2,1)</f>
        <v>0.85</v>
      </c>
      <c r="AI8" s="11">
        <f>+IF(N8=$B8,Pesos!$L$3,0)*IF(COUNTIF($C8:$W8,N8)=1,2,1)</f>
        <v>0.85</v>
      </c>
      <c r="AJ8" s="11">
        <f>+IF(O8=$B8,Pesos!$L$3,0)*IF(COUNTIF($C8:$W8,O8)=1,2,1)</f>
        <v>0.85</v>
      </c>
      <c r="AK8" s="11">
        <f>+IF(P8=$B8,Pesos!$L$3,0)*IF(COUNTIF($C8:$W8,P8)=1,2,1)</f>
        <v>0</v>
      </c>
      <c r="AL8" s="11">
        <f>+IF(Q8=$B8,Pesos!$L$3,0)*IF(COUNTIF($C8:$W8,Q8)=1,2,1)</f>
        <v>0.85</v>
      </c>
      <c r="AM8" s="11">
        <f>+IF(R8=$B8,Pesos!$L$3,0)*IF(COUNTIF($C8:$W8,R8)=1,2,1)</f>
        <v>0.85</v>
      </c>
      <c r="AN8" s="11">
        <f>+IF(S8=$B8,Pesos!$L$3,0)*IF(COUNTIF($C8:$W8,S8)=1,2,1)</f>
        <v>0.85</v>
      </c>
      <c r="AO8" s="11">
        <f>+IF(T8=$B8,Pesos!$L$3,0)*IF(COUNTIF($C8:$W8,T8)=1,2,1)</f>
        <v>0.85</v>
      </c>
      <c r="AP8" s="11">
        <f>+IF(U8=$B8,Pesos!$L$3,0)*IF(COUNTIF($C8:$W8,U8)=1,2,1)</f>
        <v>0</v>
      </c>
      <c r="AQ8" s="11">
        <f>+IF(V8=$B8,Pesos!$L$3,0)*IF(COUNTIF($C8:$W8,V8)=1,2,1)</f>
        <v>0.85</v>
      </c>
      <c r="AR8" s="11">
        <f>+IF(W8=$B8,Pesos!$L$3,0)*IF(COUNTIF($C8:$W8,W8)=1,2,1)</f>
        <v>0.85</v>
      </c>
    </row>
    <row r="9" ht="12.75" customHeight="1">
      <c r="A9" s="1" t="str">
        <f>'1a FASE'!A10</f>
        <v>Machtday 1</v>
      </c>
      <c r="B9" s="8" t="str">
        <f>'1a FASE'!B10</f>
        <v>Real Madrid</v>
      </c>
      <c r="C9" s="10" t="str">
        <f>'1a FASE'!C10</f>
        <v>Real Madrid</v>
      </c>
      <c r="D9" s="10" t="str">
        <f>'1a FASE'!D10</f>
        <v>Real Madrid</v>
      </c>
      <c r="E9" s="10" t="str">
        <f>'1a FASE'!E10</f>
        <v>Real Madrid</v>
      </c>
      <c r="F9" s="10" t="str">
        <f>'1a FASE'!F10</f>
        <v>Real Madrid</v>
      </c>
      <c r="G9" s="10" t="str">
        <f>'1a FASE'!G10</f>
        <v>Real Madrid</v>
      </c>
      <c r="H9" s="10" t="str">
        <f>'1a FASE'!H10</f>
        <v>Real Madrid</v>
      </c>
      <c r="I9" s="10" t="str">
        <f>'1a FASE'!I10</f>
        <v>Real Madrid</v>
      </c>
      <c r="J9" s="10" t="str">
        <f>'1a FASE'!J10</f>
        <v>Real Madrid</v>
      </c>
      <c r="K9" s="10" t="str">
        <f>'1a FASE'!K10</f>
        <v>Real Madrid</v>
      </c>
      <c r="L9" s="10" t="str">
        <f>'1a FASE'!L10</f>
        <v>Real Madrid</v>
      </c>
      <c r="M9" s="10" t="str">
        <f>'1a FASE'!M10</f>
        <v>Real Madrid</v>
      </c>
      <c r="N9" s="10" t="str">
        <f>'1a FASE'!N10</f>
        <v>Real Madrid</v>
      </c>
      <c r="O9" s="10" t="str">
        <f>'1a FASE'!O10</f>
        <v>Real Madrid</v>
      </c>
      <c r="P9" s="10" t="str">
        <f>'1a FASE'!P10</f>
        <v>Real Madrid</v>
      </c>
      <c r="Q9" s="10" t="str">
        <f>'1a FASE'!Q10</f>
        <v>Real Madrid</v>
      </c>
      <c r="R9" s="10" t="str">
        <f>'1a FASE'!R10</f>
        <v>Real Madrid</v>
      </c>
      <c r="S9" s="10" t="str">
        <f>'1a FASE'!S10</f>
        <v>Real Madrid</v>
      </c>
      <c r="T9" s="10" t="str">
        <f>'1a FASE'!T10</f>
        <v>Real Madrid</v>
      </c>
      <c r="U9" s="10" t="str">
        <f>'1a FASE'!U10</f>
        <v>Real Madrid</v>
      </c>
      <c r="V9" s="10" t="str">
        <f>'1a FASE'!V10</f>
        <v>Real Madrid</v>
      </c>
      <c r="W9" s="10" t="str">
        <f>'1a FASE'!W10</f>
        <v>Real Madrid</v>
      </c>
      <c r="X9" s="10">
        <f>+IF(C9=$B9,Pesos!$L$3,0)*IF(COUNTIF($C9:$W9,C9)=1,2,1)</f>
        <v>0.85</v>
      </c>
      <c r="Y9" s="10">
        <f>+IF(D9=$B9,Pesos!$L$3,0)*IF(COUNTIF($C9:$W9,D9)=1,2,1)</f>
        <v>0.85</v>
      </c>
      <c r="Z9" s="10">
        <f>+IF(E9=$B9,Pesos!$L$3,0)*IF(COUNTIF($C9:$W9,E9)=1,2,1)</f>
        <v>0.85</v>
      </c>
      <c r="AA9" s="10">
        <f>+IF(F9=$B9,Pesos!$L$3,0)*IF(COUNTIF($C9:$W9,F9)=1,2,1)</f>
        <v>0.85</v>
      </c>
      <c r="AB9" s="10">
        <f>+IF(G9=$B9,Pesos!$L$3,0)*IF(COUNTIF($C9:$W9,G9)=1,2,1)</f>
        <v>0.85</v>
      </c>
      <c r="AC9" s="10">
        <f>+IF(H9=$B9,Pesos!$L$3,0)*IF(COUNTIF($C9:$W9,H9)=1,2,1)</f>
        <v>0.85</v>
      </c>
      <c r="AD9" s="10">
        <f>+IF(I9=$B9,Pesos!$L$3,0)*IF(COUNTIF($C9:$W9,I9)=1,2,1)</f>
        <v>0.85</v>
      </c>
      <c r="AE9" s="10">
        <f>+IF(J9=$B9,Pesos!$L$3,0)*IF(COUNTIF($C9:$W9,J9)=1,2,1)</f>
        <v>0.85</v>
      </c>
      <c r="AF9" s="10">
        <f>+IF(K9=$B9,Pesos!$L$3,0)*IF(COUNTIF($C9:$W9,K9)=1,2,1)</f>
        <v>0.85</v>
      </c>
      <c r="AG9" s="10">
        <f>+IF(L9=$B9,Pesos!$L$3,0)*IF(COUNTIF($C9:$W9,L9)=1,2,1)</f>
        <v>0.85</v>
      </c>
      <c r="AH9" s="10">
        <f>+IF(M9=$B9,Pesos!$L$3,0)*IF(COUNTIF($C9:$W9,M9)=1,2,1)</f>
        <v>0.85</v>
      </c>
      <c r="AI9" s="10">
        <f>+IF(N9=$B9,Pesos!$L$3,0)*IF(COUNTIF($C9:$W9,N9)=1,2,1)</f>
        <v>0.85</v>
      </c>
      <c r="AJ9" s="10">
        <f>+IF(O9=$B9,Pesos!$L$3,0)*IF(COUNTIF($C9:$W9,O9)=1,2,1)</f>
        <v>0.85</v>
      </c>
      <c r="AK9" s="10">
        <f>+IF(P9=$B9,Pesos!$L$3,0)*IF(COUNTIF($C9:$W9,P9)=1,2,1)</f>
        <v>0.85</v>
      </c>
      <c r="AL9" s="10">
        <f>+IF(Q9=$B9,Pesos!$L$3,0)*IF(COUNTIF($C9:$W9,Q9)=1,2,1)</f>
        <v>0.85</v>
      </c>
      <c r="AM9" s="10">
        <f>+IF(R9=$B9,Pesos!$L$3,0)*IF(COUNTIF($C9:$W9,R9)=1,2,1)</f>
        <v>0.85</v>
      </c>
      <c r="AN9" s="10">
        <f>+IF(S9=$B9,Pesos!$L$3,0)*IF(COUNTIF($C9:$W9,S9)=1,2,1)</f>
        <v>0.85</v>
      </c>
      <c r="AO9" s="10">
        <f>+IF(T9=$B9,Pesos!$L$3,0)*IF(COUNTIF($C9:$W9,T9)=1,2,1)</f>
        <v>0.85</v>
      </c>
      <c r="AP9" s="10">
        <f>+IF(U9=$B9,Pesos!$L$3,0)*IF(COUNTIF($C9:$W9,U9)=1,2,1)</f>
        <v>0.85</v>
      </c>
      <c r="AQ9" s="10">
        <f>+IF(V9=$B9,Pesos!$L$3,0)*IF(COUNTIF($C9:$W9,V9)=1,2,1)</f>
        <v>0.85</v>
      </c>
      <c r="AR9" s="10">
        <f>+IF(W9=$B9,Pesos!$L$3,0)*IF(COUNTIF($C9:$W9,W9)=1,2,1)</f>
        <v>0.85</v>
      </c>
    </row>
    <row r="10" ht="12.75" customHeight="1">
      <c r="A10" s="1" t="str">
        <f>'1a FASE'!A11</f>
        <v>Machtday 1</v>
      </c>
      <c r="B10" s="8" t="str">
        <f>'1a FASE'!B11</f>
        <v>Qarabag</v>
      </c>
      <c r="C10" s="11" t="str">
        <f>'1a FASE'!C11</f>
        <v>Benfica</v>
      </c>
      <c r="D10" s="11" t="str">
        <f>'1a FASE'!D11</f>
        <v>Benfica</v>
      </c>
      <c r="E10" s="11" t="str">
        <f>'1a FASE'!E11</f>
        <v>Benfica</v>
      </c>
      <c r="F10" s="11" t="str">
        <f>'1a FASE'!F11</f>
        <v>Benfica</v>
      </c>
      <c r="G10" s="11" t="str">
        <f>'1a FASE'!G11</f>
        <v>Benfica</v>
      </c>
      <c r="H10" s="11" t="str">
        <f>'1a FASE'!H11</f>
        <v>Benfica</v>
      </c>
      <c r="I10" s="11" t="str">
        <f>'1a FASE'!I11</f>
        <v>Benfica</v>
      </c>
      <c r="J10" s="11" t="str">
        <f>'1a FASE'!J11</f>
        <v>Benfica</v>
      </c>
      <c r="K10" s="11" t="str">
        <f>'1a FASE'!K11</f>
        <v>Benfica</v>
      </c>
      <c r="L10" s="11" t="str">
        <f>'1a FASE'!L11</f>
        <v>Benfica</v>
      </c>
      <c r="M10" s="11" t="str">
        <f>'1a FASE'!M11</f>
        <v>Benfica</v>
      </c>
      <c r="N10" s="11" t="str">
        <f>'1a FASE'!N11</f>
        <v>Benfica</v>
      </c>
      <c r="O10" s="11" t="str">
        <f>'1a FASE'!O11</f>
        <v>Benfica</v>
      </c>
      <c r="P10" s="11" t="str">
        <f>'1a FASE'!P11</f>
        <v>Benfica</v>
      </c>
      <c r="Q10" s="11" t="str">
        <f>'1a FASE'!Q11</f>
        <v>Benfica</v>
      </c>
      <c r="R10" s="11" t="str">
        <f>'1a FASE'!R11</f>
        <v>Benfica</v>
      </c>
      <c r="S10" s="11" t="str">
        <f>'1a FASE'!S11</f>
        <v>Benfica</v>
      </c>
      <c r="T10" s="11" t="str">
        <f>'1a FASE'!T11</f>
        <v>Benfica</v>
      </c>
      <c r="U10" s="11" t="str">
        <f>'1a FASE'!U11</f>
        <v>Benfica</v>
      </c>
      <c r="V10" s="11" t="str">
        <f>'1a FASE'!V11</f>
        <v>Benfica</v>
      </c>
      <c r="W10" s="11" t="str">
        <f>'1a FASE'!W11</f>
        <v>Benfica</v>
      </c>
      <c r="X10" s="11">
        <f>+IF(C10=$B10,Pesos!$L$3,0)*IF(COUNTIF($C10:$W10,C10)=1,2,1)</f>
        <v>0</v>
      </c>
      <c r="Y10" s="11">
        <f>+IF(D10=$B10,Pesos!$L$3,0)*IF(COUNTIF($C10:$W10,D10)=1,2,1)</f>
        <v>0</v>
      </c>
      <c r="Z10" s="11">
        <f>+IF(E10=$B10,Pesos!$L$3,0)*IF(COUNTIF($C10:$W10,E10)=1,2,1)</f>
        <v>0</v>
      </c>
      <c r="AA10" s="11">
        <f>+IF(F10=$B10,Pesos!$L$3,0)*IF(COUNTIF($C10:$W10,F10)=1,2,1)</f>
        <v>0</v>
      </c>
      <c r="AB10" s="11">
        <f>+IF(G10=$B10,Pesos!$L$3,0)*IF(COUNTIF($C10:$W10,G10)=1,2,1)</f>
        <v>0</v>
      </c>
      <c r="AC10" s="11">
        <f>+IF(H10=$B10,Pesos!$L$3,0)*IF(COUNTIF($C10:$W10,H10)=1,2,1)</f>
        <v>0</v>
      </c>
      <c r="AD10" s="11">
        <f>+IF(I10=$B10,Pesos!$L$3,0)*IF(COUNTIF($C10:$W10,I10)=1,2,1)</f>
        <v>0</v>
      </c>
      <c r="AE10" s="11">
        <f>+IF(J10=$B10,Pesos!$L$3,0)*IF(COUNTIF($C10:$W10,J10)=1,2,1)</f>
        <v>0</v>
      </c>
      <c r="AF10" s="11">
        <f>+IF(K10=$B10,Pesos!$L$3,0)*IF(COUNTIF($C10:$W10,K10)=1,2,1)</f>
        <v>0</v>
      </c>
      <c r="AG10" s="11">
        <f>+IF(L10=$B10,Pesos!$L$3,0)*IF(COUNTIF($C10:$W10,L10)=1,2,1)</f>
        <v>0</v>
      </c>
      <c r="AH10" s="11">
        <f>+IF(M10=$B10,Pesos!$L$3,0)*IF(COUNTIF($C10:$W10,M10)=1,2,1)</f>
        <v>0</v>
      </c>
      <c r="AI10" s="11">
        <f>+IF(N10=$B10,Pesos!$L$3,0)*IF(COUNTIF($C10:$W10,N10)=1,2,1)</f>
        <v>0</v>
      </c>
      <c r="AJ10" s="11">
        <f>+IF(O10=$B10,Pesos!$L$3,0)*IF(COUNTIF($C10:$W10,O10)=1,2,1)</f>
        <v>0</v>
      </c>
      <c r="AK10" s="11">
        <f>+IF(P10=$B10,Pesos!$L$3,0)*IF(COUNTIF($C10:$W10,P10)=1,2,1)</f>
        <v>0</v>
      </c>
      <c r="AL10" s="11">
        <f>+IF(Q10=$B10,Pesos!$L$3,0)*IF(COUNTIF($C10:$W10,Q10)=1,2,1)</f>
        <v>0</v>
      </c>
      <c r="AM10" s="11">
        <f>+IF(R10=$B10,Pesos!$L$3,0)*IF(COUNTIF($C10:$W10,R10)=1,2,1)</f>
        <v>0</v>
      </c>
      <c r="AN10" s="11">
        <f>+IF(S10=$B10,Pesos!$L$3,0)*IF(COUNTIF($C10:$W10,S10)=1,2,1)</f>
        <v>0</v>
      </c>
      <c r="AO10" s="11">
        <f>+IF(T10=$B10,Pesos!$L$3,0)*IF(COUNTIF($C10:$W10,T10)=1,2,1)</f>
        <v>0</v>
      </c>
      <c r="AP10" s="11">
        <f>+IF(U10=$B10,Pesos!$L$3,0)*IF(COUNTIF($C10:$W10,U10)=1,2,1)</f>
        <v>0</v>
      </c>
      <c r="AQ10" s="11">
        <f>+IF(V10=$B10,Pesos!$L$3,0)*IF(COUNTIF($C10:$W10,V10)=1,2,1)</f>
        <v>0</v>
      </c>
      <c r="AR10" s="11">
        <f>+IF(W10=$B10,Pesos!$L$3,0)*IF(COUNTIF($C10:$W10,W10)=1,2,1)</f>
        <v>0</v>
      </c>
    </row>
    <row r="11" ht="12.75" customHeight="1">
      <c r="A11" s="1" t="str">
        <f>'1a FASE'!A12</f>
        <v>Machtday 1</v>
      </c>
      <c r="B11" s="8" t="str">
        <f>'1a FASE'!B12</f>
        <v>Empate</v>
      </c>
      <c r="C11" s="10" t="str">
        <f>'1a FASE'!C12</f>
        <v>Juventus</v>
      </c>
      <c r="D11" s="10" t="str">
        <f>'1a FASE'!D12</f>
        <v>Juventus</v>
      </c>
      <c r="E11" s="10" t="str">
        <f>'1a FASE'!E12</f>
        <v>Borussia Dortmund</v>
      </c>
      <c r="F11" s="10" t="str">
        <f>'1a FASE'!F12</f>
        <v>Juventus</v>
      </c>
      <c r="G11" s="10" t="str">
        <f>'1a FASE'!G12</f>
        <v>Juventus</v>
      </c>
      <c r="H11" s="10" t="str">
        <f>'1a FASE'!H12</f>
        <v>Juventus</v>
      </c>
      <c r="I11" s="10" t="str">
        <f>'1a FASE'!I12</f>
        <v>Borussia Dortmund</v>
      </c>
      <c r="J11" s="10" t="str">
        <f>'1a FASE'!J12</f>
        <v>Juventus</v>
      </c>
      <c r="K11" s="10" t="str">
        <f>'1a FASE'!K12</f>
        <v>Borussia Dortmund</v>
      </c>
      <c r="L11" s="10" t="str">
        <f>'1a FASE'!L12</f>
        <v>Juventus</v>
      </c>
      <c r="M11" s="10" t="str">
        <f>'1a FASE'!M12</f>
        <v>Juventus</v>
      </c>
      <c r="N11" s="10" t="str">
        <f>'1a FASE'!N12</f>
        <v>Juventus</v>
      </c>
      <c r="O11" s="10" t="str">
        <f>'1a FASE'!O12</f>
        <v>Empate</v>
      </c>
      <c r="P11" s="10" t="str">
        <f>'1a FASE'!P12</f>
        <v>Juventus</v>
      </c>
      <c r="Q11" s="10" t="str">
        <f>'1a FASE'!Q12</f>
        <v>Juventus</v>
      </c>
      <c r="R11" s="10" t="str">
        <f>'1a FASE'!R12</f>
        <v>Borussia Dortmund</v>
      </c>
      <c r="S11" s="10" t="str">
        <f>'1a FASE'!S12</f>
        <v>Juventus</v>
      </c>
      <c r="T11" s="10" t="str">
        <f>'1a FASE'!T12</f>
        <v>Borussia Dortmund</v>
      </c>
      <c r="U11" s="10" t="str">
        <f>'1a FASE'!U12</f>
        <v>Empate</v>
      </c>
      <c r="V11" s="10" t="str">
        <f>'1a FASE'!V12</f>
        <v>Borussia Dortmund</v>
      </c>
      <c r="W11" s="10" t="str">
        <f>'1a FASE'!W12</f>
        <v>Empate</v>
      </c>
      <c r="X11" s="10">
        <f>+IF(C11=$B11,Pesos!$L$3,0)*IF(COUNTIF($C11:$W11,C11)=1,2,1)</f>
        <v>0</v>
      </c>
      <c r="Y11" s="10">
        <f>+IF(D11=$B11,Pesos!$L$3,0)*IF(COUNTIF($C11:$W11,D11)=1,2,1)</f>
        <v>0</v>
      </c>
      <c r="Z11" s="10">
        <f>+IF(E11=$B11,Pesos!$L$3,0)*IF(COUNTIF($C11:$W11,E11)=1,2,1)</f>
        <v>0</v>
      </c>
      <c r="AA11" s="10">
        <f>+IF(F11=$B11,Pesos!$L$3,0)*IF(COUNTIF($C11:$W11,F11)=1,2,1)</f>
        <v>0</v>
      </c>
      <c r="AB11" s="10">
        <f>+IF(G11=$B11,Pesos!$L$3,0)*IF(COUNTIF($C11:$W11,G11)=1,2,1)</f>
        <v>0</v>
      </c>
      <c r="AC11" s="10">
        <f>+IF(H11=$B11,Pesos!$L$3,0)*IF(COUNTIF($C11:$W11,H11)=1,2,1)</f>
        <v>0</v>
      </c>
      <c r="AD11" s="10">
        <f>+IF(I11=$B11,Pesos!$L$3,0)*IF(COUNTIF($C11:$W11,I11)=1,2,1)</f>
        <v>0</v>
      </c>
      <c r="AE11" s="10">
        <f>+IF(J11=$B11,Pesos!$L$3,0)*IF(COUNTIF($C11:$W11,J11)=1,2,1)</f>
        <v>0</v>
      </c>
      <c r="AF11" s="10">
        <f>+IF(K11=$B11,Pesos!$L$3,0)*IF(COUNTIF($C11:$W11,K11)=1,2,1)</f>
        <v>0</v>
      </c>
      <c r="AG11" s="10">
        <f>+IF(L11=$B11,Pesos!$L$3,0)*IF(COUNTIF($C11:$W11,L11)=1,2,1)</f>
        <v>0</v>
      </c>
      <c r="AH11" s="10">
        <f>+IF(M11=$B11,Pesos!$L$3,0)*IF(COUNTIF($C11:$W11,M11)=1,2,1)</f>
        <v>0</v>
      </c>
      <c r="AI11" s="10">
        <f>+IF(N11=$B11,Pesos!$L$3,0)*IF(COUNTIF($C11:$W11,N11)=1,2,1)</f>
        <v>0</v>
      </c>
      <c r="AJ11" s="10">
        <f>+IF(O11=$B11,Pesos!$L$3,0)*IF(COUNTIF($C11:$W11,O11)=1,2,1)</f>
        <v>0.85</v>
      </c>
      <c r="AK11" s="10">
        <f>+IF(P11=$B11,Pesos!$L$3,0)*IF(COUNTIF($C11:$W11,P11)=1,2,1)</f>
        <v>0</v>
      </c>
      <c r="AL11" s="10">
        <f>+IF(Q11=$B11,Pesos!$L$3,0)*IF(COUNTIF($C11:$W11,Q11)=1,2,1)</f>
        <v>0</v>
      </c>
      <c r="AM11" s="10">
        <f>+IF(R11=$B11,Pesos!$L$3,0)*IF(COUNTIF($C11:$W11,R11)=1,2,1)</f>
        <v>0</v>
      </c>
      <c r="AN11" s="10">
        <f>+IF(S11=$B11,Pesos!$L$3,0)*IF(COUNTIF($C11:$W11,S11)=1,2,1)</f>
        <v>0</v>
      </c>
      <c r="AO11" s="10">
        <f>+IF(T11=$B11,Pesos!$L$3,0)*IF(COUNTIF($C11:$W11,T11)=1,2,1)</f>
        <v>0</v>
      </c>
      <c r="AP11" s="10">
        <f>+IF(U11=$B11,Pesos!$L$3,0)*IF(COUNTIF($C11:$W11,U11)=1,2,1)</f>
        <v>0.85</v>
      </c>
      <c r="AQ11" s="10">
        <f>+IF(V11=$B11,Pesos!$L$3,0)*IF(COUNTIF($C11:$W11,V11)=1,2,1)</f>
        <v>0</v>
      </c>
      <c r="AR11" s="10">
        <f>+IF(W11=$B11,Pesos!$L$3,0)*IF(COUNTIF($C11:$W11,W11)=1,2,1)</f>
        <v>0.85</v>
      </c>
    </row>
    <row r="12" ht="12.75" customHeight="1">
      <c r="A12" s="1" t="str">
        <f>'1a FASE'!A13</f>
        <v>Machtday 1</v>
      </c>
      <c r="B12" s="8" t="str">
        <f>'1a FASE'!B13</f>
        <v>Tottenham</v>
      </c>
      <c r="C12" s="11" t="str">
        <f>'1a FASE'!C13</f>
        <v>Tottenham</v>
      </c>
      <c r="D12" s="11" t="str">
        <f>'1a FASE'!D13</f>
        <v>Tottenham</v>
      </c>
      <c r="E12" s="11" t="str">
        <f>'1a FASE'!E13</f>
        <v>Tottenham</v>
      </c>
      <c r="F12" s="11" t="str">
        <f>'1a FASE'!F13</f>
        <v>Tottenham</v>
      </c>
      <c r="G12" s="11" t="str">
        <f>'1a FASE'!G13</f>
        <v>Tottenham</v>
      </c>
      <c r="H12" s="11" t="str">
        <f>'1a FASE'!H13</f>
        <v>Tottenham</v>
      </c>
      <c r="I12" s="11" t="str">
        <f>'1a FASE'!I13</f>
        <v>Tottenham</v>
      </c>
      <c r="J12" s="11" t="str">
        <f>'1a FASE'!J13</f>
        <v>Empate</v>
      </c>
      <c r="K12" s="11" t="str">
        <f>'1a FASE'!K13</f>
        <v>Tottenham</v>
      </c>
      <c r="L12" s="11" t="str">
        <f>'1a FASE'!L13</f>
        <v>Tottenham</v>
      </c>
      <c r="M12" s="11" t="str">
        <f>'1a FASE'!M13</f>
        <v>Empate</v>
      </c>
      <c r="N12" s="11" t="str">
        <f>'1a FASE'!N13</f>
        <v>Tottenham</v>
      </c>
      <c r="O12" s="11" t="str">
        <f>'1a FASE'!O13</f>
        <v>Tottenham</v>
      </c>
      <c r="P12" s="11" t="str">
        <f>'1a FASE'!P13</f>
        <v>Tottenham</v>
      </c>
      <c r="Q12" s="11" t="str">
        <f>'1a FASE'!Q13</f>
        <v>Villarreal</v>
      </c>
      <c r="R12" s="11" t="str">
        <f>'1a FASE'!R13</f>
        <v>Tottenham</v>
      </c>
      <c r="S12" s="11" t="str">
        <f>'1a FASE'!S13</f>
        <v>Tottenham</v>
      </c>
      <c r="T12" s="11" t="str">
        <f>'1a FASE'!T13</f>
        <v>Empate</v>
      </c>
      <c r="U12" s="11" t="str">
        <f>'1a FASE'!U13</f>
        <v>Empate</v>
      </c>
      <c r="V12" s="11" t="str">
        <f>'1a FASE'!V13</f>
        <v>Tottenham</v>
      </c>
      <c r="W12" s="11" t="str">
        <f>'1a FASE'!W13</f>
        <v>Tottenham</v>
      </c>
      <c r="X12" s="11">
        <f>+IF(C12=$B12,Pesos!$L$3,0)*IF(COUNTIF($C12:$W12,C12)=1,2,1)</f>
        <v>0.85</v>
      </c>
      <c r="Y12" s="11">
        <f>+IF(D12=$B12,Pesos!$L$3,0)*IF(COUNTIF($C12:$W12,D12)=1,2,1)</f>
        <v>0.85</v>
      </c>
      <c r="Z12" s="11">
        <f>+IF(E12=$B12,Pesos!$L$3,0)*IF(COUNTIF($C12:$W12,E12)=1,2,1)</f>
        <v>0.85</v>
      </c>
      <c r="AA12" s="11">
        <f>+IF(F12=$B12,Pesos!$L$3,0)*IF(COUNTIF($C12:$W12,F12)=1,2,1)</f>
        <v>0.85</v>
      </c>
      <c r="AB12" s="11">
        <f>+IF(G12=$B12,Pesos!$L$3,0)*IF(COUNTIF($C12:$W12,G12)=1,2,1)</f>
        <v>0.85</v>
      </c>
      <c r="AC12" s="11">
        <f>+IF(H12=$B12,Pesos!$L$3,0)*IF(COUNTIF($C12:$W12,H12)=1,2,1)</f>
        <v>0.85</v>
      </c>
      <c r="AD12" s="11">
        <f>+IF(I12=$B12,Pesos!$L$3,0)*IF(COUNTIF($C12:$W12,I12)=1,2,1)</f>
        <v>0.85</v>
      </c>
      <c r="AE12" s="11">
        <f>+IF(J12=$B12,Pesos!$L$3,0)*IF(COUNTIF($C12:$W12,J12)=1,2,1)</f>
        <v>0</v>
      </c>
      <c r="AF12" s="11">
        <f>+IF(K12=$B12,Pesos!$L$3,0)*IF(COUNTIF($C12:$W12,K12)=1,2,1)</f>
        <v>0.85</v>
      </c>
      <c r="AG12" s="11">
        <f>+IF(L12=$B12,Pesos!$L$3,0)*IF(COUNTIF($C12:$W12,L12)=1,2,1)</f>
        <v>0.85</v>
      </c>
      <c r="AH12" s="11">
        <f>+IF(M12=$B12,Pesos!$L$3,0)*IF(COUNTIF($C12:$W12,M12)=1,2,1)</f>
        <v>0</v>
      </c>
      <c r="AI12" s="11">
        <f>+IF(N12=$B12,Pesos!$L$3,0)*IF(COUNTIF($C12:$W12,N12)=1,2,1)</f>
        <v>0.85</v>
      </c>
      <c r="AJ12" s="11">
        <f>+IF(O12=$B12,Pesos!$L$3,0)*IF(COUNTIF($C12:$W12,O12)=1,2,1)</f>
        <v>0.85</v>
      </c>
      <c r="AK12" s="11">
        <f>+IF(P12=$B12,Pesos!$L$3,0)*IF(COUNTIF($C12:$W12,P12)=1,2,1)</f>
        <v>0.85</v>
      </c>
      <c r="AL12" s="11">
        <f>+IF(Q12=$B12,Pesos!$L$3,0)*IF(COUNTIF($C12:$W12,Q12)=1,2,1)</f>
        <v>0</v>
      </c>
      <c r="AM12" s="11">
        <f>+IF(R12=$B12,Pesos!$L$3,0)*IF(COUNTIF($C12:$W12,R12)=1,2,1)</f>
        <v>0.85</v>
      </c>
      <c r="AN12" s="11">
        <f>+IF(S12=$B12,Pesos!$L$3,0)*IF(COUNTIF($C12:$W12,S12)=1,2,1)</f>
        <v>0.85</v>
      </c>
      <c r="AO12" s="11">
        <f>+IF(T12=$B12,Pesos!$L$3,0)*IF(COUNTIF($C12:$W12,T12)=1,2,1)</f>
        <v>0</v>
      </c>
      <c r="AP12" s="11">
        <f>+IF(U12=$B12,Pesos!$L$3,0)*IF(COUNTIF($C12:$W12,U12)=1,2,1)</f>
        <v>0</v>
      </c>
      <c r="AQ12" s="11">
        <f>+IF(V12=$B12,Pesos!$L$3,0)*IF(COUNTIF($C12:$W12,V12)=1,2,1)</f>
        <v>0.85</v>
      </c>
      <c r="AR12" s="11">
        <f>+IF(W12=$B12,Pesos!$L$3,0)*IF(COUNTIF($C12:$W12,W12)=1,2,1)</f>
        <v>0.85</v>
      </c>
    </row>
    <row r="13" ht="12.75" customHeight="1">
      <c r="A13" s="1" t="str">
        <f>'1a FASE'!A14</f>
        <v>Machtday 1</v>
      </c>
      <c r="B13" s="8" t="str">
        <f>'1a FASE'!B14</f>
        <v>Empate</v>
      </c>
      <c r="C13" s="10" t="str">
        <f>'1a FASE'!C14</f>
        <v>Olympiacos</v>
      </c>
      <c r="D13" s="10" t="str">
        <f>'1a FASE'!D14</f>
        <v>Olympiacos</v>
      </c>
      <c r="E13" s="10" t="str">
        <f>'1a FASE'!E14</f>
        <v>Olympiacos</v>
      </c>
      <c r="F13" s="10" t="str">
        <f>'1a FASE'!F14</f>
        <v>Olympiacos</v>
      </c>
      <c r="G13" s="10" t="str">
        <f>'1a FASE'!G14</f>
        <v>Olympiacos</v>
      </c>
      <c r="H13" s="10" t="str">
        <f>'1a FASE'!H14</f>
        <v>Olympiacos</v>
      </c>
      <c r="I13" s="10" t="str">
        <f>'1a FASE'!I14</f>
        <v>Olympiacos</v>
      </c>
      <c r="J13" s="10" t="str">
        <f>'1a FASE'!J14</f>
        <v>Olympiacos</v>
      </c>
      <c r="K13" s="10" t="str">
        <f>'1a FASE'!K14</f>
        <v>Olympiacos</v>
      </c>
      <c r="L13" s="10" t="str">
        <f>'1a FASE'!L14</f>
        <v>Olympiacos</v>
      </c>
      <c r="M13" s="10" t="str">
        <f>'1a FASE'!M14</f>
        <v>Olympiacos</v>
      </c>
      <c r="N13" s="10" t="str">
        <f>'1a FASE'!N14</f>
        <v>Olympiacos</v>
      </c>
      <c r="O13" s="10" t="str">
        <f>'1a FASE'!O14</f>
        <v>Empate</v>
      </c>
      <c r="P13" s="10" t="str">
        <f>'1a FASE'!P14</f>
        <v>Olympiacos</v>
      </c>
      <c r="Q13" s="10" t="str">
        <f>'1a FASE'!Q14</f>
        <v>Olympiacos</v>
      </c>
      <c r="R13" s="10" t="str">
        <f>'1a FASE'!R14</f>
        <v>Empate</v>
      </c>
      <c r="S13" s="10" t="str">
        <f>'1a FASE'!S14</f>
        <v>Empate</v>
      </c>
      <c r="T13" s="10" t="str">
        <f>'1a FASE'!T14</f>
        <v>Olympiacos</v>
      </c>
      <c r="U13" s="10" t="str">
        <f>'1a FASE'!U14</f>
        <v>Empate</v>
      </c>
      <c r="V13" s="10" t="str">
        <f>'1a FASE'!V14</f>
        <v>Olympiacos</v>
      </c>
      <c r="W13" s="10" t="str">
        <f>'1a FASE'!W14</f>
        <v>Olympiacos</v>
      </c>
      <c r="X13" s="10">
        <f>+IF(C13=$B13,Pesos!$L$3,0)*IF(COUNTIF($C13:$W13,C13)=1,2,1)</f>
        <v>0</v>
      </c>
      <c r="Y13" s="10">
        <f>+IF(D13=$B13,Pesos!$L$3,0)*IF(COUNTIF($C13:$W13,D13)=1,2,1)</f>
        <v>0</v>
      </c>
      <c r="Z13" s="10">
        <f>+IF(E13=$B13,Pesos!$L$3,0)*IF(COUNTIF($C13:$W13,E13)=1,2,1)</f>
        <v>0</v>
      </c>
      <c r="AA13" s="10">
        <f>+IF(F13=$B13,Pesos!$L$3,0)*IF(COUNTIF($C13:$W13,F13)=1,2,1)</f>
        <v>0</v>
      </c>
      <c r="AB13" s="10">
        <f>+IF(G13=$B13,Pesos!$L$3,0)*IF(COUNTIF($C13:$W13,G13)=1,2,1)</f>
        <v>0</v>
      </c>
      <c r="AC13" s="10">
        <f>+IF(H13=$B13,Pesos!$L$3,0)*IF(COUNTIF($C13:$W13,H13)=1,2,1)</f>
        <v>0</v>
      </c>
      <c r="AD13" s="10">
        <f>+IF(I13=$B13,Pesos!$L$3,0)*IF(COUNTIF($C13:$W13,I13)=1,2,1)</f>
        <v>0</v>
      </c>
      <c r="AE13" s="10">
        <f>+IF(J13=$B13,Pesos!$L$3,0)*IF(COUNTIF($C13:$W13,J13)=1,2,1)</f>
        <v>0</v>
      </c>
      <c r="AF13" s="10">
        <f>+IF(K13=$B13,Pesos!$L$3,0)*IF(COUNTIF($C13:$W13,K13)=1,2,1)</f>
        <v>0</v>
      </c>
      <c r="AG13" s="10">
        <f>+IF(L13=$B13,Pesos!$L$3,0)*IF(COUNTIF($C13:$W13,L13)=1,2,1)</f>
        <v>0</v>
      </c>
      <c r="AH13" s="10">
        <f>+IF(M13=$B13,Pesos!$L$3,0)*IF(COUNTIF($C13:$W13,M13)=1,2,1)</f>
        <v>0</v>
      </c>
      <c r="AI13" s="10">
        <f>+IF(N13=$B13,Pesos!$L$3,0)*IF(COUNTIF($C13:$W13,N13)=1,2,1)</f>
        <v>0</v>
      </c>
      <c r="AJ13" s="10">
        <f>+IF(O13=$B13,Pesos!$L$3,0)*IF(COUNTIF($C13:$W13,O13)=1,2,1)</f>
        <v>0.85</v>
      </c>
      <c r="AK13" s="10">
        <f>+IF(P13=$B13,Pesos!$L$3,0)*IF(COUNTIF($C13:$W13,P13)=1,2,1)</f>
        <v>0</v>
      </c>
      <c r="AL13" s="10">
        <f>+IF(Q13=$B13,Pesos!$L$3,0)*IF(COUNTIF($C13:$W13,Q13)=1,2,1)</f>
        <v>0</v>
      </c>
      <c r="AM13" s="10">
        <f>+IF(R13=$B13,Pesos!$L$3,0)*IF(COUNTIF($C13:$W13,R13)=1,2,1)</f>
        <v>0.85</v>
      </c>
      <c r="AN13" s="10">
        <f>+IF(S13=$B13,Pesos!$L$3,0)*IF(COUNTIF($C13:$W13,S13)=1,2,1)</f>
        <v>0.85</v>
      </c>
      <c r="AO13" s="10">
        <f>+IF(T13=$B13,Pesos!$L$3,0)*IF(COUNTIF($C13:$W13,T13)=1,2,1)</f>
        <v>0</v>
      </c>
      <c r="AP13" s="10">
        <f>+IF(U13=$B13,Pesos!$L$3,0)*IF(COUNTIF($C13:$W13,U13)=1,2,1)</f>
        <v>0.85</v>
      </c>
      <c r="AQ13" s="10">
        <f>+IF(V13=$B13,Pesos!$L$3,0)*IF(COUNTIF($C13:$W13,V13)=1,2,1)</f>
        <v>0</v>
      </c>
      <c r="AR13" s="10">
        <f>+IF(W13=$B13,Pesos!$L$3,0)*IF(COUNTIF($C13:$W13,W13)=1,2,1)</f>
        <v>0</v>
      </c>
    </row>
    <row r="14" ht="12.75" customHeight="1">
      <c r="A14" s="1" t="str">
        <f>'1a FASE'!A15</f>
        <v>Machtday 1</v>
      </c>
      <c r="B14" s="8" t="str">
        <f>'1a FASE'!B15</f>
        <v>Empate</v>
      </c>
      <c r="C14" s="11" t="str">
        <f>'1a FASE'!C15</f>
        <v>Slavia Praga</v>
      </c>
      <c r="D14" s="11" t="str">
        <f>'1a FASE'!D15</f>
        <v>Slavia Praga</v>
      </c>
      <c r="E14" s="11" t="str">
        <f>'1a FASE'!E15</f>
        <v>Empate</v>
      </c>
      <c r="F14" s="11" t="str">
        <f>'1a FASE'!F15</f>
        <v>Slavia Praga</v>
      </c>
      <c r="G14" s="11" t="str">
        <f>'1a FASE'!G15</f>
        <v>Empate</v>
      </c>
      <c r="H14" s="11" t="str">
        <f>'1a FASE'!H15</f>
        <v>Slavia Praga</v>
      </c>
      <c r="I14" s="11" t="str">
        <f>'1a FASE'!I15</f>
        <v>Slavia Praga</v>
      </c>
      <c r="J14" s="11" t="str">
        <f>'1a FASE'!J15</f>
        <v>Slavia Praga</v>
      </c>
      <c r="K14" s="11" t="str">
        <f>'1a FASE'!K15</f>
        <v>Bodö/Glimt</v>
      </c>
      <c r="L14" s="11" t="str">
        <f>'1a FASE'!L15</f>
        <v>Slavia Praga</v>
      </c>
      <c r="M14" s="11" t="str">
        <f>'1a FASE'!M15</f>
        <v>Slavia Praga</v>
      </c>
      <c r="N14" s="11" t="str">
        <f>'1a FASE'!N15</f>
        <v>Slavia Praga</v>
      </c>
      <c r="O14" s="11" t="str">
        <f>'1a FASE'!O15</f>
        <v>Slavia Praga</v>
      </c>
      <c r="P14" s="11" t="str">
        <f>'1a FASE'!P15</f>
        <v>Slavia Praga</v>
      </c>
      <c r="Q14" s="11" t="str">
        <f>'1a FASE'!Q15</f>
        <v>Slavia Praga</v>
      </c>
      <c r="R14" s="11" t="str">
        <f>'1a FASE'!R15</f>
        <v>Empate</v>
      </c>
      <c r="S14" s="11" t="str">
        <f>'1a FASE'!S15</f>
        <v>Empate</v>
      </c>
      <c r="T14" s="11" t="str">
        <f>'1a FASE'!T15</f>
        <v>Slavia Praga</v>
      </c>
      <c r="U14" s="11" t="str">
        <f>'1a FASE'!U15</f>
        <v>Empate</v>
      </c>
      <c r="V14" s="11" t="str">
        <f>'1a FASE'!V15</f>
        <v>Empate</v>
      </c>
      <c r="W14" s="11" t="str">
        <f>'1a FASE'!W15</f>
        <v>Slavia Praga</v>
      </c>
      <c r="X14" s="11">
        <f>+IF(C14=$B14,Pesos!$L$3,0)*IF(COUNTIF($C14:$W14,C14)=1,2,1)</f>
        <v>0</v>
      </c>
      <c r="Y14" s="11">
        <f>+IF(D14=$B14,Pesos!$L$3,0)*IF(COUNTIF($C14:$W14,D14)=1,2,1)</f>
        <v>0</v>
      </c>
      <c r="Z14" s="11">
        <f>+IF(E14=$B14,Pesos!$L$3,0)*IF(COUNTIF($C14:$W14,E14)=1,2,1)</f>
        <v>0.85</v>
      </c>
      <c r="AA14" s="11">
        <f>+IF(F14=$B14,Pesos!$L$3,0)*IF(COUNTIF($C14:$W14,F14)=1,2,1)</f>
        <v>0</v>
      </c>
      <c r="AB14" s="11">
        <f>+IF(G14=$B14,Pesos!$L$3,0)*IF(COUNTIF($C14:$W14,G14)=1,2,1)</f>
        <v>0.85</v>
      </c>
      <c r="AC14" s="11">
        <f>+IF(H14=$B14,Pesos!$L$3,0)*IF(COUNTIF($C14:$W14,H14)=1,2,1)</f>
        <v>0</v>
      </c>
      <c r="AD14" s="11">
        <f>+IF(I14=$B14,Pesos!$L$3,0)*IF(COUNTIF($C14:$W14,I14)=1,2,1)</f>
        <v>0</v>
      </c>
      <c r="AE14" s="11">
        <f>+IF(J14=$B14,Pesos!$L$3,0)*IF(COUNTIF($C14:$W14,J14)=1,2,1)</f>
        <v>0</v>
      </c>
      <c r="AF14" s="11">
        <f>+IF(K14=$B14,Pesos!$L$3,0)*IF(COUNTIF($C14:$W14,K14)=1,2,1)</f>
        <v>0</v>
      </c>
      <c r="AG14" s="11">
        <f>+IF(L14=$B14,Pesos!$L$3,0)*IF(COUNTIF($C14:$W14,L14)=1,2,1)</f>
        <v>0</v>
      </c>
      <c r="AH14" s="11">
        <f>+IF(M14=$B14,Pesos!$L$3,0)*IF(COUNTIF($C14:$W14,M14)=1,2,1)</f>
        <v>0</v>
      </c>
      <c r="AI14" s="11">
        <f>+IF(N14=$B14,Pesos!$L$3,0)*IF(COUNTIF($C14:$W14,N14)=1,2,1)</f>
        <v>0</v>
      </c>
      <c r="AJ14" s="11">
        <f>+IF(O14=$B14,Pesos!$L$3,0)*IF(COUNTIF($C14:$W14,O14)=1,2,1)</f>
        <v>0</v>
      </c>
      <c r="AK14" s="11">
        <f>+IF(P14=$B14,Pesos!$L$3,0)*IF(COUNTIF($C14:$W14,P14)=1,2,1)</f>
        <v>0</v>
      </c>
      <c r="AL14" s="11">
        <f>+IF(Q14=$B14,Pesos!$L$3,0)*IF(COUNTIF($C14:$W14,Q14)=1,2,1)</f>
        <v>0</v>
      </c>
      <c r="AM14" s="11">
        <f>+IF(R14=$B14,Pesos!$L$3,0)*IF(COUNTIF($C14:$W14,R14)=1,2,1)</f>
        <v>0.85</v>
      </c>
      <c r="AN14" s="11">
        <f>+IF(S14=$B14,Pesos!$L$3,0)*IF(COUNTIF($C14:$W14,S14)=1,2,1)</f>
        <v>0.85</v>
      </c>
      <c r="AO14" s="11">
        <f>+IF(T14=$B14,Pesos!$L$3,0)*IF(COUNTIF($C14:$W14,T14)=1,2,1)</f>
        <v>0</v>
      </c>
      <c r="AP14" s="11">
        <f>+IF(U14=$B14,Pesos!$L$3,0)*IF(COUNTIF($C14:$W14,U14)=1,2,1)</f>
        <v>0.85</v>
      </c>
      <c r="AQ14" s="11">
        <f>+IF(V14=$B14,Pesos!$L$3,0)*IF(COUNTIF($C14:$W14,V14)=1,2,1)</f>
        <v>0.85</v>
      </c>
      <c r="AR14" s="11">
        <f>+IF(W14=$B14,Pesos!$L$3,0)*IF(COUNTIF($C14:$W14,W14)=1,2,1)</f>
        <v>0</v>
      </c>
    </row>
    <row r="15" ht="12.75" customHeight="1">
      <c r="A15" s="1" t="str">
        <f>'1a FASE'!A16</f>
        <v>Machtday 1</v>
      </c>
      <c r="B15" s="8" t="str">
        <f>'1a FASE'!B16</f>
        <v>Paris Saint-Germain</v>
      </c>
      <c r="C15" s="10" t="str">
        <f>'1a FASE'!C16</f>
        <v>Paris Saint-Germain</v>
      </c>
      <c r="D15" s="10" t="str">
        <f>'1a FASE'!D16</f>
        <v>Paris Saint-Germain</v>
      </c>
      <c r="E15" s="10" t="str">
        <f>'1a FASE'!E16</f>
        <v>Paris Saint-Germain</v>
      </c>
      <c r="F15" s="10" t="str">
        <f>'1a FASE'!F16</f>
        <v>Paris Saint-Germain</v>
      </c>
      <c r="G15" s="10" t="str">
        <f>'1a FASE'!G16</f>
        <v>Paris Saint-Germain</v>
      </c>
      <c r="H15" s="10" t="str">
        <f>'1a FASE'!H16</f>
        <v>Paris Saint-Germain</v>
      </c>
      <c r="I15" s="10" t="str">
        <f>'1a FASE'!I16</f>
        <v>Paris Saint-Germain</v>
      </c>
      <c r="J15" s="10" t="str">
        <f>'1a FASE'!J16</f>
        <v>Paris Saint-Germain</v>
      </c>
      <c r="K15" s="10" t="str">
        <f>'1a FASE'!K16</f>
        <v>Paris Saint-Germain</v>
      </c>
      <c r="L15" s="10" t="str">
        <f>'1a FASE'!L16</f>
        <v>Paris Saint-Germain</v>
      </c>
      <c r="M15" s="10" t="str">
        <f>'1a FASE'!M16</f>
        <v>Paris Saint-Germain</v>
      </c>
      <c r="N15" s="10" t="str">
        <f>'1a FASE'!N16</f>
        <v>Paris Saint-Germain</v>
      </c>
      <c r="O15" s="10" t="str">
        <f>'1a FASE'!O16</f>
        <v>Paris Saint-Germain</v>
      </c>
      <c r="P15" s="10" t="str">
        <f>'1a FASE'!P16</f>
        <v>Paris Saint-Germain</v>
      </c>
      <c r="Q15" s="10" t="str">
        <f>'1a FASE'!Q16</f>
        <v>Paris Saint-Germain</v>
      </c>
      <c r="R15" s="10" t="str">
        <f>'1a FASE'!R16</f>
        <v>Paris Saint-Germain</v>
      </c>
      <c r="S15" s="10" t="str">
        <f>'1a FASE'!S16</f>
        <v>Paris Saint-Germain</v>
      </c>
      <c r="T15" s="10" t="str">
        <f>'1a FASE'!T16</f>
        <v>Paris Saint-Germain</v>
      </c>
      <c r="U15" s="10" t="str">
        <f>'1a FASE'!U16</f>
        <v>Paris Saint-Germain</v>
      </c>
      <c r="V15" s="10" t="str">
        <f>'1a FASE'!V16</f>
        <v>Paris Saint-Germain</v>
      </c>
      <c r="W15" s="10" t="str">
        <f>'1a FASE'!W16</f>
        <v>Paris Saint-Germain</v>
      </c>
      <c r="X15" s="10">
        <f>+IF(C15=$B15,Pesos!$L$3,0)*IF(COUNTIF($C15:$W15,C15)=1,2,1)</f>
        <v>0.85</v>
      </c>
      <c r="Y15" s="10">
        <f>+IF(D15=$B15,Pesos!$L$3,0)*IF(COUNTIF($C15:$W15,D15)=1,2,1)</f>
        <v>0.85</v>
      </c>
      <c r="Z15" s="10">
        <f>+IF(E15=$B15,Pesos!$L$3,0)*IF(COUNTIF($C15:$W15,E15)=1,2,1)</f>
        <v>0.85</v>
      </c>
      <c r="AA15" s="10">
        <f>+IF(F15=$B15,Pesos!$L$3,0)*IF(COUNTIF($C15:$W15,F15)=1,2,1)</f>
        <v>0.85</v>
      </c>
      <c r="AB15" s="10">
        <f>+IF(G15=$B15,Pesos!$L$3,0)*IF(COUNTIF($C15:$W15,G15)=1,2,1)</f>
        <v>0.85</v>
      </c>
      <c r="AC15" s="10">
        <f>+IF(H15=$B15,Pesos!$L$3,0)*IF(COUNTIF($C15:$W15,H15)=1,2,1)</f>
        <v>0.85</v>
      </c>
      <c r="AD15" s="10">
        <f>+IF(I15=$B15,Pesos!$L$3,0)*IF(COUNTIF($C15:$W15,I15)=1,2,1)</f>
        <v>0.85</v>
      </c>
      <c r="AE15" s="10">
        <f>+IF(J15=$B15,Pesos!$L$3,0)*IF(COUNTIF($C15:$W15,J15)=1,2,1)</f>
        <v>0.85</v>
      </c>
      <c r="AF15" s="10">
        <f>+IF(K15=$B15,Pesos!$L$3,0)*IF(COUNTIF($C15:$W15,K15)=1,2,1)</f>
        <v>0.85</v>
      </c>
      <c r="AG15" s="10">
        <f>+IF(L15=$B15,Pesos!$L$3,0)*IF(COUNTIF($C15:$W15,L15)=1,2,1)</f>
        <v>0.85</v>
      </c>
      <c r="AH15" s="10">
        <f>+IF(M15=$B15,Pesos!$L$3,0)*IF(COUNTIF($C15:$W15,M15)=1,2,1)</f>
        <v>0.85</v>
      </c>
      <c r="AI15" s="10">
        <f>+IF(N15=$B15,Pesos!$L$3,0)*IF(COUNTIF($C15:$W15,N15)=1,2,1)</f>
        <v>0.85</v>
      </c>
      <c r="AJ15" s="10">
        <f>+IF(O15=$B15,Pesos!$L$3,0)*IF(COUNTIF($C15:$W15,O15)=1,2,1)</f>
        <v>0.85</v>
      </c>
      <c r="AK15" s="10">
        <f>+IF(P15=$B15,Pesos!$L$3,0)*IF(COUNTIF($C15:$W15,P15)=1,2,1)</f>
        <v>0.85</v>
      </c>
      <c r="AL15" s="10">
        <f>+IF(Q15=$B15,Pesos!$L$3,0)*IF(COUNTIF($C15:$W15,Q15)=1,2,1)</f>
        <v>0.85</v>
      </c>
      <c r="AM15" s="10">
        <f>+IF(R15=$B15,Pesos!$L$3,0)*IF(COUNTIF($C15:$W15,R15)=1,2,1)</f>
        <v>0.85</v>
      </c>
      <c r="AN15" s="10">
        <f>+IF(S15=$B15,Pesos!$L$3,0)*IF(COUNTIF($C15:$W15,S15)=1,2,1)</f>
        <v>0.85</v>
      </c>
      <c r="AO15" s="10">
        <f>+IF(T15=$B15,Pesos!$L$3,0)*IF(COUNTIF($C15:$W15,T15)=1,2,1)</f>
        <v>0.85</v>
      </c>
      <c r="AP15" s="10">
        <f>+IF(U15=$B15,Pesos!$L$3,0)*IF(COUNTIF($C15:$W15,U15)=1,2,1)</f>
        <v>0.85</v>
      </c>
      <c r="AQ15" s="10">
        <f>+IF(V15=$B15,Pesos!$L$3,0)*IF(COUNTIF($C15:$W15,V15)=1,2,1)</f>
        <v>0.85</v>
      </c>
      <c r="AR15" s="10">
        <f>+IF(W15=$B15,Pesos!$L$3,0)*IF(COUNTIF($C15:$W15,W15)=1,2,1)</f>
        <v>0.85</v>
      </c>
    </row>
    <row r="16" ht="12.75" customHeight="1">
      <c r="A16" s="1" t="str">
        <f>'1a FASE'!A17</f>
        <v>Machtday 1</v>
      </c>
      <c r="B16" s="8" t="str">
        <f>'1a FASE'!B17</f>
        <v>Bayern de Munique</v>
      </c>
      <c r="C16" s="11" t="str">
        <f>'1a FASE'!C17</f>
        <v>Bayern de Munique</v>
      </c>
      <c r="D16" s="11" t="str">
        <f>'1a FASE'!D17</f>
        <v>Bayern de Munique</v>
      </c>
      <c r="E16" s="11" t="str">
        <f>'1a FASE'!E17</f>
        <v>Bayern de Munique</v>
      </c>
      <c r="F16" s="11" t="str">
        <f>'1a FASE'!F17</f>
        <v>Empate</v>
      </c>
      <c r="G16" s="11" t="str">
        <f>'1a FASE'!G17</f>
        <v>Bayern de Munique</v>
      </c>
      <c r="H16" s="11" t="str">
        <f>'1a FASE'!H17</f>
        <v>Bayern de Munique</v>
      </c>
      <c r="I16" s="11" t="str">
        <f>'1a FASE'!I17</f>
        <v>Bayern de Munique</v>
      </c>
      <c r="J16" s="11" t="str">
        <f>'1a FASE'!J17</f>
        <v>Bayern de Munique</v>
      </c>
      <c r="K16" s="11" t="str">
        <f>'1a FASE'!K17</f>
        <v>Chelsea</v>
      </c>
      <c r="L16" s="11" t="str">
        <f>'1a FASE'!L17</f>
        <v>Empate</v>
      </c>
      <c r="M16" s="11" t="str">
        <f>'1a FASE'!M17</f>
        <v>Empate</v>
      </c>
      <c r="N16" s="11" t="str">
        <f>'1a FASE'!N17</f>
        <v>Bayern de Munique</v>
      </c>
      <c r="O16" s="11" t="str">
        <f>'1a FASE'!O17</f>
        <v>Empate</v>
      </c>
      <c r="P16" s="11" t="str">
        <f>'1a FASE'!P17</f>
        <v>Chelsea</v>
      </c>
      <c r="Q16" s="11" t="str">
        <f>'1a FASE'!Q17</f>
        <v>Chelsea</v>
      </c>
      <c r="R16" s="11" t="str">
        <f>'1a FASE'!R17</f>
        <v>Bayern de Munique</v>
      </c>
      <c r="S16" s="11" t="str">
        <f>'1a FASE'!S17</f>
        <v>Bayern de Munique</v>
      </c>
      <c r="T16" s="11" t="str">
        <f>'1a FASE'!T17</f>
        <v>Empate</v>
      </c>
      <c r="U16" s="11" t="str">
        <f>'1a FASE'!U17</f>
        <v>Empate</v>
      </c>
      <c r="V16" s="11" t="str">
        <f>'1a FASE'!V17</f>
        <v>Chelsea</v>
      </c>
      <c r="W16" s="11" t="str">
        <f>'1a FASE'!W17</f>
        <v>Bayern de Munique</v>
      </c>
      <c r="X16" s="11">
        <f>+IF(C16=$B16,Pesos!$L$3,0)*IF(COUNTIF($C16:$W16,C16)=1,2,1)</f>
        <v>0.85</v>
      </c>
      <c r="Y16" s="11">
        <f>+IF(D16=$B16,Pesos!$L$3,0)*IF(COUNTIF($C16:$W16,D16)=1,2,1)</f>
        <v>0.85</v>
      </c>
      <c r="Z16" s="11">
        <f>+IF(E16=$B16,Pesos!$L$3,0)*IF(COUNTIF($C16:$W16,E16)=1,2,1)</f>
        <v>0.85</v>
      </c>
      <c r="AA16" s="11">
        <f>+IF(F16=$B16,Pesos!$L$3,0)*IF(COUNTIF($C16:$W16,F16)=1,2,1)</f>
        <v>0</v>
      </c>
      <c r="AB16" s="11">
        <f>+IF(G16=$B16,Pesos!$L$3,0)*IF(COUNTIF($C16:$W16,G16)=1,2,1)</f>
        <v>0.85</v>
      </c>
      <c r="AC16" s="11">
        <f>+IF(H16=$B16,Pesos!$L$3,0)*IF(COUNTIF($C16:$W16,H16)=1,2,1)</f>
        <v>0.85</v>
      </c>
      <c r="AD16" s="11">
        <f>+IF(I16=$B16,Pesos!$L$3,0)*IF(COUNTIF($C16:$W16,I16)=1,2,1)</f>
        <v>0.85</v>
      </c>
      <c r="AE16" s="11">
        <f>+IF(J16=$B16,Pesos!$L$3,0)*IF(COUNTIF($C16:$W16,J16)=1,2,1)</f>
        <v>0.85</v>
      </c>
      <c r="AF16" s="11">
        <f>+IF(K16=$B16,Pesos!$L$3,0)*IF(COUNTIF($C16:$W16,K16)=1,2,1)</f>
        <v>0</v>
      </c>
      <c r="AG16" s="11">
        <f>+IF(L16=$B16,Pesos!$L$3,0)*IF(COUNTIF($C16:$W16,L16)=1,2,1)</f>
        <v>0</v>
      </c>
      <c r="AH16" s="11">
        <f>+IF(M16=$B16,Pesos!$L$3,0)*IF(COUNTIF($C16:$W16,M16)=1,2,1)</f>
        <v>0</v>
      </c>
      <c r="AI16" s="11">
        <f>+IF(N16=$B16,Pesos!$L$3,0)*IF(COUNTIF($C16:$W16,N16)=1,2,1)</f>
        <v>0.85</v>
      </c>
      <c r="AJ16" s="11">
        <f>+IF(O16=$B16,Pesos!$L$3,0)*IF(COUNTIF($C16:$W16,O16)=1,2,1)</f>
        <v>0</v>
      </c>
      <c r="AK16" s="11">
        <f>+IF(P16=$B16,Pesos!$L$3,0)*IF(COUNTIF($C16:$W16,P16)=1,2,1)</f>
        <v>0</v>
      </c>
      <c r="AL16" s="11">
        <f>+IF(Q16=$B16,Pesos!$L$3,0)*IF(COUNTIF($C16:$W16,Q16)=1,2,1)</f>
        <v>0</v>
      </c>
      <c r="AM16" s="11">
        <f>+IF(R16=$B16,Pesos!$L$3,0)*IF(COUNTIF($C16:$W16,R16)=1,2,1)</f>
        <v>0.85</v>
      </c>
      <c r="AN16" s="11">
        <f>+IF(S16=$B16,Pesos!$L$3,0)*IF(COUNTIF($C16:$W16,S16)=1,2,1)</f>
        <v>0.85</v>
      </c>
      <c r="AO16" s="11">
        <f>+IF(T16=$B16,Pesos!$L$3,0)*IF(COUNTIF($C16:$W16,T16)=1,2,1)</f>
        <v>0</v>
      </c>
      <c r="AP16" s="11">
        <f>+IF(U16=$B16,Pesos!$L$3,0)*IF(COUNTIF($C16:$W16,U16)=1,2,1)</f>
        <v>0</v>
      </c>
      <c r="AQ16" s="11">
        <f>+IF(V16=$B16,Pesos!$L$3,0)*IF(COUNTIF($C16:$W16,V16)=1,2,1)</f>
        <v>0</v>
      </c>
      <c r="AR16" s="11">
        <f>+IF(W16=$B16,Pesos!$L$3,0)*IF(COUNTIF($C16:$W16,W16)=1,2,1)</f>
        <v>0.85</v>
      </c>
    </row>
    <row r="17" ht="12.75" customHeight="1">
      <c r="A17" s="1" t="str">
        <f>'1a FASE'!A18</f>
        <v>Machtday 1</v>
      </c>
      <c r="B17" s="8" t="str">
        <f>'1a FASE'!B18</f>
        <v>Liverpool</v>
      </c>
      <c r="C17" s="10" t="str">
        <f>'1a FASE'!C18</f>
        <v>Liverpool</v>
      </c>
      <c r="D17" s="10" t="str">
        <f>'1a FASE'!D18</f>
        <v>Liverpool</v>
      </c>
      <c r="E17" s="10" t="str">
        <f>'1a FASE'!E18</f>
        <v>Liverpool</v>
      </c>
      <c r="F17" s="10" t="str">
        <f>'1a FASE'!F18</f>
        <v>Liverpool</v>
      </c>
      <c r="G17" s="10" t="str">
        <f>'1a FASE'!G18</f>
        <v>Liverpool</v>
      </c>
      <c r="H17" s="10" t="str">
        <f>'1a FASE'!H18</f>
        <v>Liverpool</v>
      </c>
      <c r="I17" s="10" t="str">
        <f>'1a FASE'!I18</f>
        <v>Liverpool</v>
      </c>
      <c r="J17" s="10" t="str">
        <f>'1a FASE'!J18</f>
        <v>Liverpool</v>
      </c>
      <c r="K17" s="10" t="str">
        <f>'1a FASE'!K18</f>
        <v>Liverpool</v>
      </c>
      <c r="L17" s="10" t="str">
        <f>'1a FASE'!L18</f>
        <v>Empate</v>
      </c>
      <c r="M17" s="10" t="str">
        <f>'1a FASE'!M18</f>
        <v>Liverpool</v>
      </c>
      <c r="N17" s="10" t="str">
        <f>'1a FASE'!N18</f>
        <v>Liverpool</v>
      </c>
      <c r="O17" s="10" t="str">
        <f>'1a FASE'!O18</f>
        <v>Liverpool</v>
      </c>
      <c r="P17" s="10" t="str">
        <f>'1a FASE'!P18</f>
        <v>Liverpool</v>
      </c>
      <c r="Q17" s="10" t="str">
        <f>'1a FASE'!Q18</f>
        <v>Liverpool</v>
      </c>
      <c r="R17" s="10" t="str">
        <f>'1a FASE'!R18</f>
        <v>Liverpool</v>
      </c>
      <c r="S17" s="10" t="str">
        <f>'1a FASE'!S18</f>
        <v>Liverpool</v>
      </c>
      <c r="T17" s="10" t="str">
        <f>'1a FASE'!T18</f>
        <v>Liverpool</v>
      </c>
      <c r="U17" s="10" t="str">
        <f>'1a FASE'!U18</f>
        <v>Liverpool</v>
      </c>
      <c r="V17" s="10" t="str">
        <f>'1a FASE'!V18</f>
        <v>Atlético de Madrid</v>
      </c>
      <c r="W17" s="10" t="str">
        <f>'1a FASE'!W18</f>
        <v>Liverpool</v>
      </c>
      <c r="X17" s="10">
        <f>+IF(C17=$B17,Pesos!$L$3,0)*IF(COUNTIF($C17:$W17,C17)=1,2,1)</f>
        <v>0.85</v>
      </c>
      <c r="Y17" s="10">
        <f>+IF(D17=$B17,Pesos!$L$3,0)*IF(COUNTIF($C17:$W17,D17)=1,2,1)</f>
        <v>0.85</v>
      </c>
      <c r="Z17" s="10">
        <f>+IF(E17=$B17,Pesos!$L$3,0)*IF(COUNTIF($C17:$W17,E17)=1,2,1)</f>
        <v>0.85</v>
      </c>
      <c r="AA17" s="10">
        <f>+IF(F17=$B17,Pesos!$L$3,0)*IF(COUNTIF($C17:$W17,F17)=1,2,1)</f>
        <v>0.85</v>
      </c>
      <c r="AB17" s="10">
        <f>+IF(G17=$B17,Pesos!$L$3,0)*IF(COUNTIF($C17:$W17,G17)=1,2,1)</f>
        <v>0.85</v>
      </c>
      <c r="AC17" s="10">
        <f>+IF(H17=$B17,Pesos!$L$3,0)*IF(COUNTIF($C17:$W17,H17)=1,2,1)</f>
        <v>0.85</v>
      </c>
      <c r="AD17" s="10">
        <f>+IF(I17=$B17,Pesos!$L$3,0)*IF(COUNTIF($C17:$W17,I17)=1,2,1)</f>
        <v>0.85</v>
      </c>
      <c r="AE17" s="10">
        <f>+IF(J17=$B17,Pesos!$L$3,0)*IF(COUNTIF($C17:$W17,J17)=1,2,1)</f>
        <v>0.85</v>
      </c>
      <c r="AF17" s="10">
        <f>+IF(K17=$B17,Pesos!$L$3,0)*IF(COUNTIF($C17:$W17,K17)=1,2,1)</f>
        <v>0.85</v>
      </c>
      <c r="AG17" s="10">
        <f>+IF(L17=$B17,Pesos!$L$3,0)*IF(COUNTIF($C17:$W17,L17)=1,2,1)</f>
        <v>0</v>
      </c>
      <c r="AH17" s="10">
        <f>+IF(M17=$B17,Pesos!$L$3,0)*IF(COUNTIF($C17:$W17,M17)=1,2,1)</f>
        <v>0.85</v>
      </c>
      <c r="AI17" s="10">
        <f>+IF(N17=$B17,Pesos!$L$3,0)*IF(COUNTIF($C17:$W17,N17)=1,2,1)</f>
        <v>0.85</v>
      </c>
      <c r="AJ17" s="10">
        <f>+IF(O17=$B17,Pesos!$L$3,0)*IF(COUNTIF($C17:$W17,O17)=1,2,1)</f>
        <v>0.85</v>
      </c>
      <c r="AK17" s="10">
        <f>+IF(P17=$B17,Pesos!$L$3,0)*IF(COUNTIF($C17:$W17,P17)=1,2,1)</f>
        <v>0.85</v>
      </c>
      <c r="AL17" s="10">
        <f>+IF(Q17=$B17,Pesos!$L$3,0)*IF(COUNTIF($C17:$W17,Q17)=1,2,1)</f>
        <v>0.85</v>
      </c>
      <c r="AM17" s="10">
        <f>+IF(R17=$B17,Pesos!$L$3,0)*IF(COUNTIF($C17:$W17,R17)=1,2,1)</f>
        <v>0.85</v>
      </c>
      <c r="AN17" s="10">
        <f>+IF(S17=$B17,Pesos!$L$3,0)*IF(COUNTIF($C17:$W17,S17)=1,2,1)</f>
        <v>0.85</v>
      </c>
      <c r="AO17" s="10">
        <f>+IF(T17=$B17,Pesos!$L$3,0)*IF(COUNTIF($C17:$W17,T17)=1,2,1)</f>
        <v>0.85</v>
      </c>
      <c r="AP17" s="10">
        <f>+IF(U17=$B17,Pesos!$L$3,0)*IF(COUNTIF($C17:$W17,U17)=1,2,1)</f>
        <v>0.85</v>
      </c>
      <c r="AQ17" s="10">
        <f>+IF(V17=$B17,Pesos!$L$3,0)*IF(COUNTIF($C17:$W17,V17)=1,2,1)</f>
        <v>0</v>
      </c>
      <c r="AR17" s="10">
        <f>+IF(W17=$B17,Pesos!$L$3,0)*IF(COUNTIF($C17:$W17,W17)=1,2,1)</f>
        <v>0.85</v>
      </c>
    </row>
    <row r="18" ht="12.75" customHeight="1">
      <c r="A18" s="1" t="str">
        <f>'1a FASE'!A19</f>
        <v>Machtday 1</v>
      </c>
      <c r="B18" s="8" t="str">
        <f>'1a FASE'!B19</f>
        <v>Internazionale</v>
      </c>
      <c r="C18" s="11" t="str">
        <f>'1a FASE'!C19</f>
        <v>Internazionale</v>
      </c>
      <c r="D18" s="11" t="str">
        <f>'1a FASE'!D19</f>
        <v>Empate</v>
      </c>
      <c r="E18" s="11" t="str">
        <f>'1a FASE'!E19</f>
        <v>Ajax</v>
      </c>
      <c r="F18" s="11" t="str">
        <f>'1a FASE'!F19</f>
        <v>Internazionale</v>
      </c>
      <c r="G18" s="11" t="str">
        <f>'1a FASE'!G19</f>
        <v>Empate</v>
      </c>
      <c r="H18" s="11" t="str">
        <f>'1a FASE'!H19</f>
        <v>Ajax</v>
      </c>
      <c r="I18" s="11" t="str">
        <f>'1a FASE'!I19</f>
        <v>Internazionale</v>
      </c>
      <c r="J18" s="11" t="str">
        <f>'1a FASE'!J19</f>
        <v>Empate</v>
      </c>
      <c r="K18" s="11" t="str">
        <f>'1a FASE'!K19</f>
        <v>Internazionale</v>
      </c>
      <c r="L18" s="11" t="str">
        <f>'1a FASE'!L19</f>
        <v>Empate</v>
      </c>
      <c r="M18" s="11" t="str">
        <f>'1a FASE'!M19</f>
        <v>Empate</v>
      </c>
      <c r="N18" s="11" t="str">
        <f>'1a FASE'!N19</f>
        <v>Internazionale</v>
      </c>
      <c r="O18" s="11" t="str">
        <f>'1a FASE'!O19</f>
        <v>Ajax</v>
      </c>
      <c r="P18" s="11" t="str">
        <f>'1a FASE'!P19</f>
        <v>Internazionale</v>
      </c>
      <c r="Q18" s="11" t="str">
        <f>'1a FASE'!Q19</f>
        <v>Empate</v>
      </c>
      <c r="R18" s="11" t="str">
        <f>'1a FASE'!R19</f>
        <v>Internazionale</v>
      </c>
      <c r="S18" s="11" t="str">
        <f>'1a FASE'!S19</f>
        <v>Empate</v>
      </c>
      <c r="T18" s="11" t="str">
        <f>'1a FASE'!T19</f>
        <v>Ajax</v>
      </c>
      <c r="U18" s="11" t="str">
        <f>'1a FASE'!U19</f>
        <v>Empate</v>
      </c>
      <c r="V18" s="11" t="str">
        <f>'1a FASE'!V19</f>
        <v>Internazionale</v>
      </c>
      <c r="W18" s="11" t="str">
        <f>'1a FASE'!W19</f>
        <v>Empate</v>
      </c>
      <c r="X18" s="11">
        <f>+IF(C18=$B18,Pesos!$L$3,0)*IF(COUNTIF($C18:$W18,C18)=1,2,1)</f>
        <v>0.85</v>
      </c>
      <c r="Y18" s="11">
        <f>+IF(D18=$B18,Pesos!$L$3,0)*IF(COUNTIF($C18:$W18,D18)=1,2,1)</f>
        <v>0</v>
      </c>
      <c r="Z18" s="11">
        <f>+IF(E18=$B18,Pesos!$L$3,0)*IF(COUNTIF($C18:$W18,E18)=1,2,1)</f>
        <v>0</v>
      </c>
      <c r="AA18" s="11">
        <f>+IF(F18=$B18,Pesos!$L$3,0)*IF(COUNTIF($C18:$W18,F18)=1,2,1)</f>
        <v>0.85</v>
      </c>
      <c r="AB18" s="11">
        <f>+IF(G18=$B18,Pesos!$L$3,0)*IF(COUNTIF($C18:$W18,G18)=1,2,1)</f>
        <v>0</v>
      </c>
      <c r="AC18" s="11">
        <f>+IF(H18=$B18,Pesos!$L$3,0)*IF(COUNTIF($C18:$W18,H18)=1,2,1)</f>
        <v>0</v>
      </c>
      <c r="AD18" s="11">
        <f>+IF(I18=$B18,Pesos!$L$3,0)*IF(COUNTIF($C18:$W18,I18)=1,2,1)</f>
        <v>0.85</v>
      </c>
      <c r="AE18" s="11">
        <f>+IF(J18=$B18,Pesos!$L$3,0)*IF(COUNTIF($C18:$W18,J18)=1,2,1)</f>
        <v>0</v>
      </c>
      <c r="AF18" s="11">
        <f>+IF(K18=$B18,Pesos!$L$3,0)*IF(COUNTIF($C18:$W18,K18)=1,2,1)</f>
        <v>0.85</v>
      </c>
      <c r="AG18" s="11">
        <f>+IF(L18=$B18,Pesos!$L$3,0)*IF(COUNTIF($C18:$W18,L18)=1,2,1)</f>
        <v>0</v>
      </c>
      <c r="AH18" s="11">
        <f>+IF(M18=$B18,Pesos!$L$3,0)*IF(COUNTIF($C18:$W18,M18)=1,2,1)</f>
        <v>0</v>
      </c>
      <c r="AI18" s="11">
        <f>+IF(N18=$B18,Pesos!$L$3,0)*IF(COUNTIF($C18:$W18,N18)=1,2,1)</f>
        <v>0.85</v>
      </c>
      <c r="AJ18" s="11">
        <f>+IF(O18=$B18,Pesos!$L$3,0)*IF(COUNTIF($C18:$W18,O18)=1,2,1)</f>
        <v>0</v>
      </c>
      <c r="AK18" s="11">
        <f>+IF(P18=$B18,Pesos!$L$3,0)*IF(COUNTIF($C18:$W18,P18)=1,2,1)</f>
        <v>0.85</v>
      </c>
      <c r="AL18" s="11">
        <f>+IF(Q18=$B18,Pesos!$L$3,0)*IF(COUNTIF($C18:$W18,Q18)=1,2,1)</f>
        <v>0</v>
      </c>
      <c r="AM18" s="11">
        <f>+IF(R18=$B18,Pesos!$L$3,0)*IF(COUNTIF($C18:$W18,R18)=1,2,1)</f>
        <v>0.85</v>
      </c>
      <c r="AN18" s="11">
        <f>+IF(S18=$B18,Pesos!$L$3,0)*IF(COUNTIF($C18:$W18,S18)=1,2,1)</f>
        <v>0</v>
      </c>
      <c r="AO18" s="11">
        <f>+IF(T18=$B18,Pesos!$L$3,0)*IF(COUNTIF($C18:$W18,T18)=1,2,1)</f>
        <v>0</v>
      </c>
      <c r="AP18" s="11">
        <f>+IF(U18=$B18,Pesos!$L$3,0)*IF(COUNTIF($C18:$W18,U18)=1,2,1)</f>
        <v>0</v>
      </c>
      <c r="AQ18" s="11">
        <f>+IF(V18=$B18,Pesos!$L$3,0)*IF(COUNTIF($C18:$W18,V18)=1,2,1)</f>
        <v>0.85</v>
      </c>
      <c r="AR18" s="11">
        <f>+IF(W18=$B18,Pesos!$L$3,0)*IF(COUNTIF($C18:$W18,W18)=1,2,1)</f>
        <v>0</v>
      </c>
    </row>
    <row r="19" ht="12.75" customHeight="1">
      <c r="A19" s="1" t="str">
        <f>'1a FASE'!A20</f>
        <v>Machtday 1</v>
      </c>
      <c r="B19" s="8" t="str">
        <f>'1a FASE'!B20</f>
        <v>Club Brugge</v>
      </c>
      <c r="C19" s="10" t="str">
        <f>'1a FASE'!C20</f>
        <v>Monaco</v>
      </c>
      <c r="D19" s="10" t="str">
        <f>'1a FASE'!D20</f>
        <v>Monaco</v>
      </c>
      <c r="E19" s="10" t="str">
        <f>'1a FASE'!E20</f>
        <v>Monaco</v>
      </c>
      <c r="F19" s="10" t="str">
        <f>'1a FASE'!F20</f>
        <v>Empate</v>
      </c>
      <c r="G19" s="10" t="str">
        <f>'1a FASE'!G20</f>
        <v>Club Brugge</v>
      </c>
      <c r="H19" s="10" t="str">
        <f>'1a FASE'!H20</f>
        <v>Monaco</v>
      </c>
      <c r="I19" s="10" t="str">
        <f>'1a FASE'!I20</f>
        <v>Club Brugge</v>
      </c>
      <c r="J19" s="10" t="str">
        <f>'1a FASE'!J20</f>
        <v>Club Brugge</v>
      </c>
      <c r="K19" s="10" t="str">
        <f>'1a FASE'!K20</f>
        <v>Empate</v>
      </c>
      <c r="L19" s="10" t="str">
        <f>'1a FASE'!L20</f>
        <v>Club Brugge</v>
      </c>
      <c r="M19" s="10" t="str">
        <f>'1a FASE'!M20</f>
        <v>Monaco</v>
      </c>
      <c r="N19" s="10" t="str">
        <f>'1a FASE'!N20</f>
        <v>Empate</v>
      </c>
      <c r="O19" s="10" t="str">
        <f>'1a FASE'!O20</f>
        <v>Empate</v>
      </c>
      <c r="P19" s="10" t="str">
        <f>'1a FASE'!P20</f>
        <v>Empate</v>
      </c>
      <c r="Q19" s="10" t="str">
        <f>'1a FASE'!Q20</f>
        <v>Empate</v>
      </c>
      <c r="R19" s="10" t="str">
        <f>'1a FASE'!R20</f>
        <v>Empate</v>
      </c>
      <c r="S19" s="10" t="str">
        <f>'1a FASE'!S20</f>
        <v>Club Brugge</v>
      </c>
      <c r="T19" s="10" t="str">
        <f>'1a FASE'!T20</f>
        <v>Club Brugge</v>
      </c>
      <c r="U19" s="10" t="str">
        <f>'1a FASE'!U20</f>
        <v>Empate</v>
      </c>
      <c r="V19" s="10" t="str">
        <f>'1a FASE'!V20</f>
        <v>Club Brugge</v>
      </c>
      <c r="W19" s="10" t="str">
        <f>'1a FASE'!W20</f>
        <v>Monaco</v>
      </c>
      <c r="X19" s="10">
        <f>+IF(C19=$B19,Pesos!$L$3,0)*IF(COUNTIF($C19:$W19,C19)=1,2,1)</f>
        <v>0</v>
      </c>
      <c r="Y19" s="10">
        <f>+IF(D19=$B19,Pesos!$L$3,0)*IF(COUNTIF($C19:$W19,D19)=1,2,1)</f>
        <v>0</v>
      </c>
      <c r="Z19" s="10">
        <f>+IF(E19=$B19,Pesos!$L$3,0)*IF(COUNTIF($C19:$W19,E19)=1,2,1)</f>
        <v>0</v>
      </c>
      <c r="AA19" s="10">
        <f>+IF(F19=$B19,Pesos!$L$3,0)*IF(COUNTIF($C19:$W19,F19)=1,2,1)</f>
        <v>0</v>
      </c>
      <c r="AB19" s="10">
        <f>+IF(G19=$B19,Pesos!$L$3,0)*IF(COUNTIF($C19:$W19,G19)=1,2,1)</f>
        <v>0.85</v>
      </c>
      <c r="AC19" s="10">
        <f>+IF(H19=$B19,Pesos!$L$3,0)*IF(COUNTIF($C19:$W19,H19)=1,2,1)</f>
        <v>0</v>
      </c>
      <c r="AD19" s="10">
        <f>+IF(I19=$B19,Pesos!$L$3,0)*IF(COUNTIF($C19:$W19,I19)=1,2,1)</f>
        <v>0.85</v>
      </c>
      <c r="AE19" s="10">
        <f>+IF(J19=$B19,Pesos!$L$3,0)*IF(COUNTIF($C19:$W19,J19)=1,2,1)</f>
        <v>0.85</v>
      </c>
      <c r="AF19" s="10">
        <f>+IF(K19=$B19,Pesos!$L$3,0)*IF(COUNTIF($C19:$W19,K19)=1,2,1)</f>
        <v>0</v>
      </c>
      <c r="AG19" s="10">
        <f>+IF(L19=$B19,Pesos!$L$3,0)*IF(COUNTIF($C19:$W19,L19)=1,2,1)</f>
        <v>0.85</v>
      </c>
      <c r="AH19" s="10">
        <f>+IF(M19=$B19,Pesos!$L$3,0)*IF(COUNTIF($C19:$W19,M19)=1,2,1)</f>
        <v>0</v>
      </c>
      <c r="AI19" s="10">
        <f>+IF(N19=$B19,Pesos!$L$3,0)*IF(COUNTIF($C19:$W19,N19)=1,2,1)</f>
        <v>0</v>
      </c>
      <c r="AJ19" s="10">
        <f>+IF(O19=$B19,Pesos!$L$3,0)*IF(COUNTIF($C19:$W19,O19)=1,2,1)</f>
        <v>0</v>
      </c>
      <c r="AK19" s="10">
        <f>+IF(P19=$B19,Pesos!$L$3,0)*IF(COUNTIF($C19:$W19,P19)=1,2,1)</f>
        <v>0</v>
      </c>
      <c r="AL19" s="10">
        <f>+IF(Q19=$B19,Pesos!$L$3,0)*IF(COUNTIF($C19:$W19,Q19)=1,2,1)</f>
        <v>0</v>
      </c>
      <c r="AM19" s="10">
        <f>+IF(R19=$B19,Pesos!$L$3,0)*IF(COUNTIF($C19:$W19,R19)=1,2,1)</f>
        <v>0</v>
      </c>
      <c r="AN19" s="10">
        <f>+IF(S19=$B19,Pesos!$L$3,0)*IF(COUNTIF($C19:$W19,S19)=1,2,1)</f>
        <v>0.85</v>
      </c>
      <c r="AO19" s="10">
        <f>+IF(T19=$B19,Pesos!$L$3,0)*IF(COUNTIF($C19:$W19,T19)=1,2,1)</f>
        <v>0.85</v>
      </c>
      <c r="AP19" s="10">
        <f>+IF(U19=$B19,Pesos!$L$3,0)*IF(COUNTIF($C19:$W19,U19)=1,2,1)</f>
        <v>0</v>
      </c>
      <c r="AQ19" s="10">
        <f>+IF(V19=$B19,Pesos!$L$3,0)*IF(COUNTIF($C19:$W19,V19)=1,2,1)</f>
        <v>0.85</v>
      </c>
      <c r="AR19" s="10">
        <f>+IF(W19=$B19,Pesos!$L$3,0)*IF(COUNTIF($C19:$W19,W19)=1,2,1)</f>
        <v>0</v>
      </c>
    </row>
    <row r="20" ht="12.75" customHeight="1">
      <c r="A20" s="1" t="str">
        <f>'1a FASE'!A21</f>
        <v>Machtday 1</v>
      </c>
      <c r="B20" s="8" t="str">
        <f>'1a FASE'!B21</f>
        <v>Empate</v>
      </c>
      <c r="C20" s="11" t="str">
        <f>'1a FASE'!C21</f>
        <v>Bayer Leverkusen</v>
      </c>
      <c r="D20" s="11" t="str">
        <f>'1a FASE'!D21</f>
        <v>Bayer Leverkusen</v>
      </c>
      <c r="E20" s="11" t="str">
        <f>'1a FASE'!E21</f>
        <v>Empate</v>
      </c>
      <c r="F20" s="11" t="str">
        <f>'1a FASE'!F21</f>
        <v>Empate</v>
      </c>
      <c r="G20" s="11" t="str">
        <f>'1a FASE'!G21</f>
        <v>Bayer Leverkusen</v>
      </c>
      <c r="H20" s="11" t="str">
        <f>'1a FASE'!H21</f>
        <v>Bayer Leverkusen</v>
      </c>
      <c r="I20" s="11" t="str">
        <f>'1a FASE'!I21</f>
        <v>Bayer Leverkusen</v>
      </c>
      <c r="J20" s="11" t="str">
        <f>'1a FASE'!J21</f>
        <v>Bayer Leverkusen</v>
      </c>
      <c r="K20" s="11" t="str">
        <f>'1a FASE'!K21</f>
        <v>Bayer Leverkusen</v>
      </c>
      <c r="L20" s="11" t="str">
        <f>'1a FASE'!L21</f>
        <v>Bayer Leverkusen</v>
      </c>
      <c r="M20" s="11" t="str">
        <f>'1a FASE'!M21</f>
        <v>Bayer Leverkusen</v>
      </c>
      <c r="N20" s="11" t="str">
        <f>'1a FASE'!N21</f>
        <v>Empate</v>
      </c>
      <c r="O20" s="11" t="str">
        <f>'1a FASE'!O21</f>
        <v>Empate</v>
      </c>
      <c r="P20" s="11" t="str">
        <f>'1a FASE'!P21</f>
        <v>Bayer Leverkusen</v>
      </c>
      <c r="Q20" s="11" t="str">
        <f>'1a FASE'!Q21</f>
        <v>Empate</v>
      </c>
      <c r="R20" s="11" t="str">
        <f>'1a FASE'!R21</f>
        <v>Empate</v>
      </c>
      <c r="S20" s="11" t="str">
        <f>'1a FASE'!S21</f>
        <v>Copenhagen</v>
      </c>
      <c r="T20" s="11" t="str">
        <f>'1a FASE'!T21</f>
        <v>Bayer Leverkusen</v>
      </c>
      <c r="U20" s="11" t="str">
        <f>'1a FASE'!U21</f>
        <v>Bayer Leverkusen</v>
      </c>
      <c r="V20" s="11" t="str">
        <f>'1a FASE'!V21</f>
        <v>Empate</v>
      </c>
      <c r="W20" s="11" t="str">
        <f>'1a FASE'!W21</f>
        <v>Bayer Leverkusen</v>
      </c>
      <c r="X20" s="11">
        <f>+IF(C20=$B20,Pesos!$L$3,0)*IF(COUNTIF($C20:$W20,C20)=1,2,1)</f>
        <v>0</v>
      </c>
      <c r="Y20" s="11">
        <f>+IF(D20=$B20,Pesos!$L$3,0)*IF(COUNTIF($C20:$W20,D20)=1,2,1)</f>
        <v>0</v>
      </c>
      <c r="Z20" s="11">
        <f>+IF(E20=$B20,Pesos!$L$3,0)*IF(COUNTIF($C20:$W20,E20)=1,2,1)</f>
        <v>0.85</v>
      </c>
      <c r="AA20" s="11">
        <f>+IF(F20=$B20,Pesos!$L$3,0)*IF(COUNTIF($C20:$W20,F20)=1,2,1)</f>
        <v>0.85</v>
      </c>
      <c r="AB20" s="11">
        <f>+IF(G20=$B20,Pesos!$L$3,0)*IF(COUNTIF($C20:$W20,G20)=1,2,1)</f>
        <v>0</v>
      </c>
      <c r="AC20" s="11">
        <f>+IF(H20=$B20,Pesos!$L$3,0)*IF(COUNTIF($C20:$W20,H20)=1,2,1)</f>
        <v>0</v>
      </c>
      <c r="AD20" s="11">
        <f>+IF(I20=$B20,Pesos!$L$3,0)*IF(COUNTIF($C20:$W20,I20)=1,2,1)</f>
        <v>0</v>
      </c>
      <c r="AE20" s="11">
        <f>+IF(J20=$B20,Pesos!$L$3,0)*IF(COUNTIF($C20:$W20,J20)=1,2,1)</f>
        <v>0</v>
      </c>
      <c r="AF20" s="11">
        <f>+IF(K20=$B20,Pesos!$L$3,0)*IF(COUNTIF($C20:$W20,K20)=1,2,1)</f>
        <v>0</v>
      </c>
      <c r="AG20" s="11">
        <f>+IF(L20=$B20,Pesos!$L$3,0)*IF(COUNTIF($C20:$W20,L20)=1,2,1)</f>
        <v>0</v>
      </c>
      <c r="AH20" s="11">
        <f>+IF(M20=$B20,Pesos!$L$3,0)*IF(COUNTIF($C20:$W20,M20)=1,2,1)</f>
        <v>0</v>
      </c>
      <c r="AI20" s="11">
        <f>+IF(N20=$B20,Pesos!$L$3,0)*IF(COUNTIF($C20:$W20,N20)=1,2,1)</f>
        <v>0.85</v>
      </c>
      <c r="AJ20" s="11">
        <f>+IF(O20=$B20,Pesos!$L$3,0)*IF(COUNTIF($C20:$W20,O20)=1,2,1)</f>
        <v>0.85</v>
      </c>
      <c r="AK20" s="11">
        <f>+IF(P20=$B20,Pesos!$L$3,0)*IF(COUNTIF($C20:$W20,P20)=1,2,1)</f>
        <v>0</v>
      </c>
      <c r="AL20" s="11">
        <f>+IF(Q20=$B20,Pesos!$L$3,0)*IF(COUNTIF($C20:$W20,Q20)=1,2,1)</f>
        <v>0.85</v>
      </c>
      <c r="AM20" s="11">
        <f>+IF(R20=$B20,Pesos!$L$3,0)*IF(COUNTIF($C20:$W20,R20)=1,2,1)</f>
        <v>0.85</v>
      </c>
      <c r="AN20" s="11">
        <f>+IF(S20=$B20,Pesos!$L$3,0)*IF(COUNTIF($C20:$W20,S20)=1,2,1)</f>
        <v>0</v>
      </c>
      <c r="AO20" s="11">
        <f>+IF(T20=$B20,Pesos!$L$3,0)*IF(COUNTIF($C20:$W20,T20)=1,2,1)</f>
        <v>0</v>
      </c>
      <c r="AP20" s="11">
        <f>+IF(U20=$B20,Pesos!$L$3,0)*IF(COUNTIF($C20:$W20,U20)=1,2,1)</f>
        <v>0</v>
      </c>
      <c r="AQ20" s="11">
        <f>+IF(V20=$B20,Pesos!$L$3,0)*IF(COUNTIF($C20:$W20,V20)=1,2,1)</f>
        <v>0.85</v>
      </c>
      <c r="AR20" s="11">
        <f>+IF(W20=$B20,Pesos!$L$3,0)*IF(COUNTIF($C20:$W20,W20)=1,2,1)</f>
        <v>0</v>
      </c>
    </row>
    <row r="21" ht="12.75" customHeight="1">
      <c r="A21" s="1" t="str">
        <f>'1a FASE'!A22</f>
        <v>Machtday 1</v>
      </c>
      <c r="B21" s="8" t="str">
        <f>'1a FASE'!B22</f>
        <v>Manchester City</v>
      </c>
      <c r="C21" s="10" t="str">
        <f>'1a FASE'!C22</f>
        <v>Manchester City</v>
      </c>
      <c r="D21" s="10" t="str">
        <f>'1a FASE'!D22</f>
        <v>Manchester City</v>
      </c>
      <c r="E21" s="10" t="str">
        <f>'1a FASE'!E22</f>
        <v>Manchester City</v>
      </c>
      <c r="F21" s="10" t="str">
        <f>'1a FASE'!F22</f>
        <v>Manchester City</v>
      </c>
      <c r="G21" s="10" t="str">
        <f>'1a FASE'!G22</f>
        <v>Empate</v>
      </c>
      <c r="H21" s="10" t="str">
        <f>'1a FASE'!H22</f>
        <v>Manchester City</v>
      </c>
      <c r="I21" s="10" t="str">
        <f>'1a FASE'!I22</f>
        <v>Manchester City</v>
      </c>
      <c r="J21" s="10" t="str">
        <f>'1a FASE'!J22</f>
        <v>Manchester City</v>
      </c>
      <c r="K21" s="10" t="str">
        <f>'1a FASE'!K22</f>
        <v>Manchester City</v>
      </c>
      <c r="L21" s="10" t="str">
        <f>'1a FASE'!L22</f>
        <v>Manchester City</v>
      </c>
      <c r="M21" s="10" t="str">
        <f>'1a FASE'!M22</f>
        <v>Manchester City</v>
      </c>
      <c r="N21" s="10" t="str">
        <f>'1a FASE'!N22</f>
        <v>Manchester City</v>
      </c>
      <c r="O21" s="10" t="str">
        <f>'1a FASE'!O22</f>
        <v>Manchester City</v>
      </c>
      <c r="P21" s="10" t="str">
        <f>'1a FASE'!P22</f>
        <v>Manchester City</v>
      </c>
      <c r="Q21" s="10" t="str">
        <f>'1a FASE'!Q22</f>
        <v>Manchester City</v>
      </c>
      <c r="R21" s="10" t="str">
        <f>'1a FASE'!R22</f>
        <v>Manchester City</v>
      </c>
      <c r="S21" s="10" t="str">
        <f>'1a FASE'!S22</f>
        <v>Manchester City</v>
      </c>
      <c r="T21" s="10" t="str">
        <f>'1a FASE'!T22</f>
        <v>Manchester City</v>
      </c>
      <c r="U21" s="10" t="str">
        <f>'1a FASE'!U22</f>
        <v>Manchester City</v>
      </c>
      <c r="V21" s="10" t="str">
        <f>'1a FASE'!V22</f>
        <v>Manchester City</v>
      </c>
      <c r="W21" s="10" t="str">
        <f>'1a FASE'!W22</f>
        <v>Manchester City</v>
      </c>
      <c r="X21" s="10">
        <f>+IF(C21=$B21,Pesos!$L$3,0)*IF(COUNTIF($C21:$W21,C21)=1,2,1)</f>
        <v>0.85</v>
      </c>
      <c r="Y21" s="10">
        <f>+IF(D21=$B21,Pesos!$L$3,0)*IF(COUNTIF($C21:$W21,D21)=1,2,1)</f>
        <v>0.85</v>
      </c>
      <c r="Z21" s="10">
        <f>+IF(E21=$B21,Pesos!$L$3,0)*IF(COUNTIF($C21:$W21,E21)=1,2,1)</f>
        <v>0.85</v>
      </c>
      <c r="AA21" s="10">
        <f>+IF(F21=$B21,Pesos!$L$3,0)*IF(COUNTIF($C21:$W21,F21)=1,2,1)</f>
        <v>0.85</v>
      </c>
      <c r="AB21" s="10">
        <f>+IF(G21=$B21,Pesos!$L$3,0)*IF(COUNTIF($C21:$W21,G21)=1,2,1)</f>
        <v>0</v>
      </c>
      <c r="AC21" s="10">
        <f>+IF(H21=$B21,Pesos!$L$3,0)*IF(COUNTIF($C21:$W21,H21)=1,2,1)</f>
        <v>0.85</v>
      </c>
      <c r="AD21" s="10">
        <f>+IF(I21=$B21,Pesos!$L$3,0)*IF(COUNTIF($C21:$W21,I21)=1,2,1)</f>
        <v>0.85</v>
      </c>
      <c r="AE21" s="10">
        <f>+IF(J21=$B21,Pesos!$L$3,0)*IF(COUNTIF($C21:$W21,J21)=1,2,1)</f>
        <v>0.85</v>
      </c>
      <c r="AF21" s="10">
        <f>+IF(K21=$B21,Pesos!$L$3,0)*IF(COUNTIF($C21:$W21,K21)=1,2,1)</f>
        <v>0.85</v>
      </c>
      <c r="AG21" s="10">
        <f>+IF(L21=$B21,Pesos!$L$3,0)*IF(COUNTIF($C21:$W21,L21)=1,2,1)</f>
        <v>0.85</v>
      </c>
      <c r="AH21" s="10">
        <f>+IF(M21=$B21,Pesos!$L$3,0)*IF(COUNTIF($C21:$W21,M21)=1,2,1)</f>
        <v>0.85</v>
      </c>
      <c r="AI21" s="10">
        <f>+IF(N21=$B21,Pesos!$L$3,0)*IF(COUNTIF($C21:$W21,N21)=1,2,1)</f>
        <v>0.85</v>
      </c>
      <c r="AJ21" s="10">
        <f>+IF(O21=$B21,Pesos!$L$3,0)*IF(COUNTIF($C21:$W21,O21)=1,2,1)</f>
        <v>0.85</v>
      </c>
      <c r="AK21" s="10">
        <f>+IF(P21=$B21,Pesos!$L$3,0)*IF(COUNTIF($C21:$W21,P21)=1,2,1)</f>
        <v>0.85</v>
      </c>
      <c r="AL21" s="10">
        <f>+IF(Q21=$B21,Pesos!$L$3,0)*IF(COUNTIF($C21:$W21,Q21)=1,2,1)</f>
        <v>0.85</v>
      </c>
      <c r="AM21" s="10">
        <f>+IF(R21=$B21,Pesos!$L$3,0)*IF(COUNTIF($C21:$W21,R21)=1,2,1)</f>
        <v>0.85</v>
      </c>
      <c r="AN21" s="10">
        <f>+IF(S21=$B21,Pesos!$L$3,0)*IF(COUNTIF($C21:$W21,S21)=1,2,1)</f>
        <v>0.85</v>
      </c>
      <c r="AO21" s="10">
        <f>+IF(T21=$B21,Pesos!$L$3,0)*IF(COUNTIF($C21:$W21,T21)=1,2,1)</f>
        <v>0.85</v>
      </c>
      <c r="AP21" s="10">
        <f>+IF(U21=$B21,Pesos!$L$3,0)*IF(COUNTIF($C21:$W21,U21)=1,2,1)</f>
        <v>0.85</v>
      </c>
      <c r="AQ21" s="10">
        <f>+IF(V21=$B21,Pesos!$L$3,0)*IF(COUNTIF($C21:$W21,V21)=1,2,1)</f>
        <v>0.85</v>
      </c>
      <c r="AR21" s="10">
        <f>+IF(W21=$B21,Pesos!$L$3,0)*IF(COUNTIF($C21:$W21,W21)=1,2,1)</f>
        <v>0.85</v>
      </c>
    </row>
    <row r="22" ht="12.75" customHeight="1">
      <c r="A22" s="1" t="str">
        <f>'1a FASE'!A23</f>
        <v>Machtday 1</v>
      </c>
      <c r="B22" s="8" t="str">
        <f>'1a FASE'!B23</f>
        <v>Eintracht Frankfurt</v>
      </c>
      <c r="C22" s="11" t="str">
        <f>'1a FASE'!C23</f>
        <v>Eintracht Frankfurt</v>
      </c>
      <c r="D22" s="11" t="str">
        <f>'1a FASE'!D23</f>
        <v>Eintracht Frankfurt</v>
      </c>
      <c r="E22" s="11" t="str">
        <f>'1a FASE'!E23</f>
        <v>Galatasaray</v>
      </c>
      <c r="F22" s="11" t="str">
        <f>'1a FASE'!F23</f>
        <v>Galatasaray</v>
      </c>
      <c r="G22" s="11" t="str">
        <f>'1a FASE'!G23</f>
        <v>Eintracht Frankfurt</v>
      </c>
      <c r="H22" s="11" t="str">
        <f>'1a FASE'!H23</f>
        <v>Eintracht Frankfurt</v>
      </c>
      <c r="I22" s="11" t="str">
        <f>'1a FASE'!I23</f>
        <v>Galatasaray</v>
      </c>
      <c r="J22" s="11" t="str">
        <f>'1a FASE'!J23</f>
        <v>Eintracht Frankfurt</v>
      </c>
      <c r="K22" s="11" t="str">
        <f>'1a FASE'!K23</f>
        <v>Galatasaray</v>
      </c>
      <c r="L22" s="11" t="str">
        <f>'1a FASE'!L23</f>
        <v>Eintracht Frankfurt</v>
      </c>
      <c r="M22" s="11" t="str">
        <f>'1a FASE'!M23</f>
        <v>Empate</v>
      </c>
      <c r="N22" s="11" t="str">
        <f>'1a FASE'!N23</f>
        <v>Eintracht Frankfurt</v>
      </c>
      <c r="O22" s="11" t="str">
        <f>'1a FASE'!O23</f>
        <v>Galatasaray</v>
      </c>
      <c r="P22" s="11" t="str">
        <f>'1a FASE'!P23</f>
        <v>Empate</v>
      </c>
      <c r="Q22" s="11" t="str">
        <f>'1a FASE'!Q23</f>
        <v>Eintracht Frankfurt</v>
      </c>
      <c r="R22" s="11" t="str">
        <f>'1a FASE'!R23</f>
        <v>Galatasaray</v>
      </c>
      <c r="S22" s="11" t="str">
        <f>'1a FASE'!S23</f>
        <v>Galatasaray</v>
      </c>
      <c r="T22" s="11" t="str">
        <f>'1a FASE'!T23</f>
        <v>Empate</v>
      </c>
      <c r="U22" s="11" t="str">
        <f>'1a FASE'!U23</f>
        <v>Galatasaray</v>
      </c>
      <c r="V22" s="11" t="str">
        <f>'1a FASE'!V23</f>
        <v>Galatasaray</v>
      </c>
      <c r="W22" s="11" t="str">
        <f>'1a FASE'!W23</f>
        <v>Eintracht Frankfurt</v>
      </c>
      <c r="X22" s="11">
        <f>+IF(C22=$B22,Pesos!$L$3,0)*IF(COUNTIF($C22:$W22,C22)=1,2,1)</f>
        <v>0.85</v>
      </c>
      <c r="Y22" s="11">
        <f>+IF(D22=$B22,Pesos!$L$3,0)*IF(COUNTIF($C22:$W22,D22)=1,2,1)</f>
        <v>0.85</v>
      </c>
      <c r="Z22" s="11">
        <f>+IF(E22=$B22,Pesos!$L$3,0)*IF(COUNTIF($C22:$W22,E22)=1,2,1)</f>
        <v>0</v>
      </c>
      <c r="AA22" s="11">
        <f>+IF(F22=$B22,Pesos!$L$3,0)*IF(COUNTIF($C22:$W22,F22)=1,2,1)</f>
        <v>0</v>
      </c>
      <c r="AB22" s="11">
        <f>+IF(G22=$B22,Pesos!$L$3,0)*IF(COUNTIF($C22:$W22,G22)=1,2,1)</f>
        <v>0.85</v>
      </c>
      <c r="AC22" s="11">
        <f>+IF(H22=$B22,Pesos!$L$3,0)*IF(COUNTIF($C22:$W22,H22)=1,2,1)</f>
        <v>0.85</v>
      </c>
      <c r="AD22" s="11">
        <f>+IF(I22=$B22,Pesos!$L$3,0)*IF(COUNTIF($C22:$W22,I22)=1,2,1)</f>
        <v>0</v>
      </c>
      <c r="AE22" s="11">
        <f>+IF(J22=$B22,Pesos!$L$3,0)*IF(COUNTIF($C22:$W22,J22)=1,2,1)</f>
        <v>0.85</v>
      </c>
      <c r="AF22" s="11">
        <f>+IF(K22=$B22,Pesos!$L$3,0)*IF(COUNTIF($C22:$W22,K22)=1,2,1)</f>
        <v>0</v>
      </c>
      <c r="AG22" s="11">
        <f>+IF(L22=$B22,Pesos!$L$3,0)*IF(COUNTIF($C22:$W22,L22)=1,2,1)</f>
        <v>0.85</v>
      </c>
      <c r="AH22" s="11">
        <f>+IF(M22=$B22,Pesos!$L$3,0)*IF(COUNTIF($C22:$W22,M22)=1,2,1)</f>
        <v>0</v>
      </c>
      <c r="AI22" s="11">
        <f>+IF(N22=$B22,Pesos!$L$3,0)*IF(COUNTIF($C22:$W22,N22)=1,2,1)</f>
        <v>0.85</v>
      </c>
      <c r="AJ22" s="11">
        <f>+IF(O22=$B22,Pesos!$L$3,0)*IF(COUNTIF($C22:$W22,O22)=1,2,1)</f>
        <v>0</v>
      </c>
      <c r="AK22" s="11">
        <f>+IF(P22=$B22,Pesos!$L$3,0)*IF(COUNTIF($C22:$W22,P22)=1,2,1)</f>
        <v>0</v>
      </c>
      <c r="AL22" s="11">
        <f>+IF(Q22=$B22,Pesos!$L$3,0)*IF(COUNTIF($C22:$W22,Q22)=1,2,1)</f>
        <v>0.85</v>
      </c>
      <c r="AM22" s="11">
        <f>+IF(R22=$B22,Pesos!$L$3,0)*IF(COUNTIF($C22:$W22,R22)=1,2,1)</f>
        <v>0</v>
      </c>
      <c r="AN22" s="11">
        <f>+IF(S22=$B22,Pesos!$L$3,0)*IF(COUNTIF($C22:$W22,S22)=1,2,1)</f>
        <v>0</v>
      </c>
      <c r="AO22" s="11">
        <f>+IF(T22=$B22,Pesos!$L$3,0)*IF(COUNTIF($C22:$W22,T22)=1,2,1)</f>
        <v>0</v>
      </c>
      <c r="AP22" s="11">
        <f>+IF(U22=$B22,Pesos!$L$3,0)*IF(COUNTIF($C22:$W22,U22)=1,2,1)</f>
        <v>0</v>
      </c>
      <c r="AQ22" s="11">
        <f>+IF(V22=$B22,Pesos!$L$3,0)*IF(COUNTIF($C22:$W22,V22)=1,2,1)</f>
        <v>0</v>
      </c>
      <c r="AR22" s="11">
        <f>+IF(W22=$B22,Pesos!$L$3,0)*IF(COUNTIF($C22:$W22,W22)=1,2,1)</f>
        <v>0.85</v>
      </c>
    </row>
    <row r="23" ht="12.75" customHeight="1">
      <c r="A23" s="1" t="str">
        <f>'1a FASE'!A24</f>
        <v>Machtday 1</v>
      </c>
      <c r="B23" s="8" t="str">
        <f>'1a FASE'!B24</f>
        <v>Sporting</v>
      </c>
      <c r="C23" s="10" t="str">
        <f>'1a FASE'!C24</f>
        <v>Sporting</v>
      </c>
      <c r="D23" s="10" t="str">
        <f>'1a FASE'!D24</f>
        <v>Sporting</v>
      </c>
      <c r="E23" s="10" t="str">
        <f>'1a FASE'!E24</f>
        <v>Sporting</v>
      </c>
      <c r="F23" s="10" t="str">
        <f>'1a FASE'!F24</f>
        <v>Sporting</v>
      </c>
      <c r="G23" s="10" t="str">
        <f>'1a FASE'!G24</f>
        <v>Sporting</v>
      </c>
      <c r="H23" s="10" t="str">
        <f>'1a FASE'!H24</f>
        <v>Sporting</v>
      </c>
      <c r="I23" s="10" t="str">
        <f>'1a FASE'!I24</f>
        <v>Sporting</v>
      </c>
      <c r="J23" s="10" t="str">
        <f>'1a FASE'!J24</f>
        <v>Sporting</v>
      </c>
      <c r="K23" s="10" t="str">
        <f>'1a FASE'!K24</f>
        <v>Sporting</v>
      </c>
      <c r="L23" s="10" t="str">
        <f>'1a FASE'!L24</f>
        <v>Sporting</v>
      </c>
      <c r="M23" s="10" t="str">
        <f>'1a FASE'!M24</f>
        <v>Sporting</v>
      </c>
      <c r="N23" s="10" t="str">
        <f>'1a FASE'!N24</f>
        <v>Sporting</v>
      </c>
      <c r="O23" s="10" t="str">
        <f>'1a FASE'!O24</f>
        <v>Sporting</v>
      </c>
      <c r="P23" s="10" t="str">
        <f>'1a FASE'!P24</f>
        <v>Sporting</v>
      </c>
      <c r="Q23" s="10" t="str">
        <f>'1a FASE'!Q24</f>
        <v>Sporting</v>
      </c>
      <c r="R23" s="10" t="str">
        <f>'1a FASE'!R24</f>
        <v>Sporting</v>
      </c>
      <c r="S23" s="10" t="str">
        <f>'1a FASE'!S24</f>
        <v>Sporting</v>
      </c>
      <c r="T23" s="10" t="str">
        <f>'1a FASE'!T24</f>
        <v>Sporting</v>
      </c>
      <c r="U23" s="10" t="str">
        <f>'1a FASE'!U24</f>
        <v>Sporting</v>
      </c>
      <c r="V23" s="10" t="str">
        <f>'1a FASE'!V24</f>
        <v>Sporting</v>
      </c>
      <c r="W23" s="10" t="str">
        <f>'1a FASE'!W24</f>
        <v>Sporting</v>
      </c>
      <c r="X23" s="10">
        <f>+IF(C23=$B23,Pesos!$L$3,0)*IF(COUNTIF($C23:$W23,C23)=1,2,1)</f>
        <v>0.85</v>
      </c>
      <c r="Y23" s="10">
        <f>+IF(D23=$B23,Pesos!$L$3,0)*IF(COUNTIF($C23:$W23,D23)=1,2,1)</f>
        <v>0.85</v>
      </c>
      <c r="Z23" s="10">
        <f>+IF(E23=$B23,Pesos!$L$3,0)*IF(COUNTIF($C23:$W23,E23)=1,2,1)</f>
        <v>0.85</v>
      </c>
      <c r="AA23" s="10">
        <f>+IF(F23=$B23,Pesos!$L$3,0)*IF(COUNTIF($C23:$W23,F23)=1,2,1)</f>
        <v>0.85</v>
      </c>
      <c r="AB23" s="10">
        <f>+IF(G23=$B23,Pesos!$L$3,0)*IF(COUNTIF($C23:$W23,G23)=1,2,1)</f>
        <v>0.85</v>
      </c>
      <c r="AC23" s="10">
        <f>+IF(H23=$B23,Pesos!$L$3,0)*IF(COUNTIF($C23:$W23,H23)=1,2,1)</f>
        <v>0.85</v>
      </c>
      <c r="AD23" s="10">
        <f>+IF(I23=$B23,Pesos!$L$3,0)*IF(COUNTIF($C23:$W23,I23)=1,2,1)</f>
        <v>0.85</v>
      </c>
      <c r="AE23" s="10">
        <f>+IF(J23=$B23,Pesos!$L$3,0)*IF(COUNTIF($C23:$W23,J23)=1,2,1)</f>
        <v>0.85</v>
      </c>
      <c r="AF23" s="10">
        <f>+IF(K23=$B23,Pesos!$L$3,0)*IF(COUNTIF($C23:$W23,K23)=1,2,1)</f>
        <v>0.85</v>
      </c>
      <c r="AG23" s="10">
        <f>+IF(L23=$B23,Pesos!$L$3,0)*IF(COUNTIF($C23:$W23,L23)=1,2,1)</f>
        <v>0.85</v>
      </c>
      <c r="AH23" s="10">
        <f>+IF(M23=$B23,Pesos!$L$3,0)*IF(COUNTIF($C23:$W23,M23)=1,2,1)</f>
        <v>0.85</v>
      </c>
      <c r="AI23" s="10">
        <f>+IF(N23=$B23,Pesos!$L$3,0)*IF(COUNTIF($C23:$W23,N23)=1,2,1)</f>
        <v>0.85</v>
      </c>
      <c r="AJ23" s="10">
        <f>+IF(O23=$B23,Pesos!$L$3,0)*IF(COUNTIF($C23:$W23,O23)=1,2,1)</f>
        <v>0.85</v>
      </c>
      <c r="AK23" s="10">
        <f>+IF(P23=$B23,Pesos!$L$3,0)*IF(COUNTIF($C23:$W23,P23)=1,2,1)</f>
        <v>0.85</v>
      </c>
      <c r="AL23" s="10">
        <f>+IF(Q23=$B23,Pesos!$L$3,0)*IF(COUNTIF($C23:$W23,Q23)=1,2,1)</f>
        <v>0.85</v>
      </c>
      <c r="AM23" s="10">
        <f>+IF(R23=$B23,Pesos!$L$3,0)*IF(COUNTIF($C23:$W23,R23)=1,2,1)</f>
        <v>0.85</v>
      </c>
      <c r="AN23" s="10">
        <f>+IF(S23=$B23,Pesos!$L$3,0)*IF(COUNTIF($C23:$W23,S23)=1,2,1)</f>
        <v>0.85</v>
      </c>
      <c r="AO23" s="10">
        <f>+IF(T23=$B23,Pesos!$L$3,0)*IF(COUNTIF($C23:$W23,T23)=1,2,1)</f>
        <v>0.85</v>
      </c>
      <c r="AP23" s="10">
        <f>+IF(U23=$B23,Pesos!$L$3,0)*IF(COUNTIF($C23:$W23,U23)=1,2,1)</f>
        <v>0.85</v>
      </c>
      <c r="AQ23" s="10">
        <f>+IF(V23=$B23,Pesos!$L$3,0)*IF(COUNTIF($C23:$W23,V23)=1,2,1)</f>
        <v>0.85</v>
      </c>
      <c r="AR23" s="10">
        <f>+IF(W23=$B23,Pesos!$L$3,0)*IF(COUNTIF($C23:$W23,W23)=1,2,1)</f>
        <v>0.85</v>
      </c>
    </row>
    <row r="24" ht="12.75" customHeight="1">
      <c r="A24" s="1" t="str">
        <f>'1a FASE'!A25</f>
        <v>Machtday 1</v>
      </c>
      <c r="B24" s="8" t="str">
        <f>'1a FASE'!B25</f>
        <v>Barcelona</v>
      </c>
      <c r="C24" s="11" t="str">
        <f>'1a FASE'!C25</f>
        <v>Barcelona</v>
      </c>
      <c r="D24" s="11" t="str">
        <f>'1a FASE'!D25</f>
        <v>Barcelona</v>
      </c>
      <c r="E24" s="11" t="str">
        <f>'1a FASE'!E25</f>
        <v>Barcelona</v>
      </c>
      <c r="F24" s="11" t="str">
        <f>'1a FASE'!F25</f>
        <v>Barcelona</v>
      </c>
      <c r="G24" s="11" t="str">
        <f>'1a FASE'!G25</f>
        <v>Barcelona</v>
      </c>
      <c r="H24" s="11" t="str">
        <f>'1a FASE'!H25</f>
        <v>Barcelona</v>
      </c>
      <c r="I24" s="11" t="str">
        <f>'1a FASE'!I25</f>
        <v>Newcastle</v>
      </c>
      <c r="J24" s="11" t="str">
        <f>'1a FASE'!J25</f>
        <v>Barcelona</v>
      </c>
      <c r="K24" s="11" t="str">
        <f>'1a FASE'!K25</f>
        <v>Newcastle</v>
      </c>
      <c r="L24" s="11" t="str">
        <f>'1a FASE'!L25</f>
        <v>Barcelona</v>
      </c>
      <c r="M24" s="11" t="str">
        <f>'1a FASE'!M25</f>
        <v>Barcelona</v>
      </c>
      <c r="N24" s="11" t="str">
        <f>'1a FASE'!N25</f>
        <v>Barcelona</v>
      </c>
      <c r="O24" s="11" t="str">
        <f>'1a FASE'!O25</f>
        <v>Barcelona</v>
      </c>
      <c r="P24" s="11" t="str">
        <f>'1a FASE'!P25</f>
        <v>Barcelona</v>
      </c>
      <c r="Q24" s="11" t="str">
        <f>'1a FASE'!Q25</f>
        <v>Newcastle</v>
      </c>
      <c r="R24" s="11" t="str">
        <f>'1a FASE'!R25</f>
        <v>Newcastle</v>
      </c>
      <c r="S24" s="11" t="str">
        <f>'1a FASE'!S25</f>
        <v>Barcelona</v>
      </c>
      <c r="T24" s="11" t="str">
        <f>'1a FASE'!T25</f>
        <v>Barcelona</v>
      </c>
      <c r="U24" s="11" t="str">
        <f>'1a FASE'!U25</f>
        <v>Empate</v>
      </c>
      <c r="V24" s="11" t="str">
        <f>'1a FASE'!V25</f>
        <v>Barcelona</v>
      </c>
      <c r="W24" s="11" t="str">
        <f>'1a FASE'!W25</f>
        <v>Barcelona</v>
      </c>
      <c r="X24" s="11">
        <f>+IF(C24=$B24,Pesos!$L$3,0)*IF(COUNTIF($C24:$W24,C24)=1,2,1)</f>
        <v>0.85</v>
      </c>
      <c r="Y24" s="11">
        <f>+IF(D24=$B24,Pesos!$L$3,0)*IF(COUNTIF($C24:$W24,D24)=1,2,1)</f>
        <v>0.85</v>
      </c>
      <c r="Z24" s="11">
        <f>+IF(E24=$B24,Pesos!$L$3,0)*IF(COUNTIF($C24:$W24,E24)=1,2,1)</f>
        <v>0.85</v>
      </c>
      <c r="AA24" s="11">
        <f>+IF(F24=$B24,Pesos!$L$3,0)*IF(COUNTIF($C24:$W24,F24)=1,2,1)</f>
        <v>0.85</v>
      </c>
      <c r="AB24" s="11">
        <f>+IF(G24=$B24,Pesos!$L$3,0)*IF(COUNTIF($C24:$W24,G24)=1,2,1)</f>
        <v>0.85</v>
      </c>
      <c r="AC24" s="11">
        <f>+IF(H24=$B24,Pesos!$L$3,0)*IF(COUNTIF($C24:$W24,H24)=1,2,1)</f>
        <v>0.85</v>
      </c>
      <c r="AD24" s="11">
        <f>+IF(I24=$B24,Pesos!$L$3,0)*IF(COUNTIF($C24:$W24,I24)=1,2,1)</f>
        <v>0</v>
      </c>
      <c r="AE24" s="11">
        <f>+IF(J24=$B24,Pesos!$L$3,0)*IF(COUNTIF($C24:$W24,J24)=1,2,1)</f>
        <v>0.85</v>
      </c>
      <c r="AF24" s="11">
        <f>+IF(K24=$B24,Pesos!$L$3,0)*IF(COUNTIF($C24:$W24,K24)=1,2,1)</f>
        <v>0</v>
      </c>
      <c r="AG24" s="11">
        <f>+IF(L24=$B24,Pesos!$L$3,0)*IF(COUNTIF($C24:$W24,L24)=1,2,1)</f>
        <v>0.85</v>
      </c>
      <c r="AH24" s="11">
        <f>+IF(M24=$B24,Pesos!$L$3,0)*IF(COUNTIF($C24:$W24,M24)=1,2,1)</f>
        <v>0.85</v>
      </c>
      <c r="AI24" s="11">
        <f>+IF(N24=$B24,Pesos!$L$3,0)*IF(COUNTIF($C24:$W24,N24)=1,2,1)</f>
        <v>0.85</v>
      </c>
      <c r="AJ24" s="11">
        <f>+IF(O24=$B24,Pesos!$L$3,0)*IF(COUNTIF($C24:$W24,O24)=1,2,1)</f>
        <v>0.85</v>
      </c>
      <c r="AK24" s="11">
        <f>+IF(P24=$B24,Pesos!$L$3,0)*IF(COUNTIF($C24:$W24,P24)=1,2,1)</f>
        <v>0.85</v>
      </c>
      <c r="AL24" s="11">
        <f>+IF(Q24=$B24,Pesos!$L$3,0)*IF(COUNTIF($C24:$W24,Q24)=1,2,1)</f>
        <v>0</v>
      </c>
      <c r="AM24" s="11">
        <f>+IF(R24=$B24,Pesos!$L$3,0)*IF(COUNTIF($C24:$W24,R24)=1,2,1)</f>
        <v>0</v>
      </c>
      <c r="AN24" s="11">
        <f>+IF(S24=$B24,Pesos!$L$3,0)*IF(COUNTIF($C24:$W24,S24)=1,2,1)</f>
        <v>0.85</v>
      </c>
      <c r="AO24" s="11">
        <f>+IF(T24=$B24,Pesos!$L$3,0)*IF(COUNTIF($C24:$W24,T24)=1,2,1)</f>
        <v>0.85</v>
      </c>
      <c r="AP24" s="11">
        <f>+IF(U24=$B24,Pesos!$L$3,0)*IF(COUNTIF($C24:$W24,U24)=1,2,1)</f>
        <v>0</v>
      </c>
      <c r="AQ24" s="11">
        <f>+IF(V24=$B24,Pesos!$L$3,0)*IF(COUNTIF($C24:$W24,V24)=1,2,1)</f>
        <v>0.85</v>
      </c>
      <c r="AR24" s="11">
        <f>+IF(W24=$B24,Pesos!$L$3,0)*IF(COUNTIF($C24:$W24,W24)=1,2,1)</f>
        <v>0.85</v>
      </c>
    </row>
    <row r="25" ht="12.75" customHeight="1">
      <c r="A25" s="1" t="str">
        <f>'1a FASE'!A26</f>
        <v>Machtday 2</v>
      </c>
      <c r="B25" s="8" t="str">
        <f>'1a FASE'!B26</f>
        <v>Atalanta</v>
      </c>
      <c r="C25" s="10" t="str">
        <f>'1a FASE'!C26</f>
        <v>Atalanta</v>
      </c>
      <c r="D25" s="10" t="str">
        <f>'1a FASE'!D26</f>
        <v>Atalanta</v>
      </c>
      <c r="E25" s="10" t="str">
        <f>'1a FASE'!E26</f>
        <v>Atalanta</v>
      </c>
      <c r="F25" s="10" t="str">
        <f>'1a FASE'!F26</f>
        <v>Atalanta</v>
      </c>
      <c r="G25" s="10" t="str">
        <f>'1a FASE'!G26</f>
        <v>Atalanta</v>
      </c>
      <c r="H25" s="10" t="str">
        <f>'1a FASE'!H26</f>
        <v>Atalanta</v>
      </c>
      <c r="I25" s="10" t="str">
        <f>'1a FASE'!I26</f>
        <v>Atalanta</v>
      </c>
      <c r="J25" s="10" t="str">
        <f>'1a FASE'!J26</f>
        <v>Atalanta</v>
      </c>
      <c r="K25" s="10" t="str">
        <f>'1a FASE'!K26</f>
        <v>Atalanta</v>
      </c>
      <c r="L25" s="10" t="str">
        <f>'1a FASE'!L26</f>
        <v>Atalanta</v>
      </c>
      <c r="M25" s="10" t="str">
        <f>'1a FASE'!M26</f>
        <v>Atalanta</v>
      </c>
      <c r="N25" s="10" t="str">
        <f>'1a FASE'!N26</f>
        <v>Atalanta</v>
      </c>
      <c r="O25" s="10" t="str">
        <f>'1a FASE'!O26</f>
        <v>Empate</v>
      </c>
      <c r="P25" s="10" t="str">
        <f>'1a FASE'!P26</f>
        <v>Atalanta</v>
      </c>
      <c r="Q25" s="10" t="str">
        <f>'1a FASE'!Q26</f>
        <v>Atalanta</v>
      </c>
      <c r="R25" s="10" t="str">
        <f>'1a FASE'!R26</f>
        <v>Atalanta</v>
      </c>
      <c r="S25" s="10" t="str">
        <f>'1a FASE'!S26</f>
        <v>Atalanta</v>
      </c>
      <c r="T25" s="10" t="str">
        <f>'1a FASE'!T26</f>
        <v>Atalanta</v>
      </c>
      <c r="U25" s="10" t="str">
        <f>'1a FASE'!U26</f>
        <v>Atalanta</v>
      </c>
      <c r="V25" s="10" t="str">
        <f>'1a FASE'!V26</f>
        <v>Club Brugge</v>
      </c>
      <c r="W25" s="10" t="str">
        <f>'1a FASE'!W26</f>
        <v>Atalanta</v>
      </c>
      <c r="X25" s="10">
        <f>+IF(C25=$B25,Pesos!$L$3,0)*IF(COUNTIF($C25:$W25,C25)=1,2,1)</f>
        <v>0.85</v>
      </c>
      <c r="Y25" s="10">
        <f>+IF(D25=$B25,Pesos!$L$3,0)*IF(COUNTIF($C25:$W25,D25)=1,2,1)</f>
        <v>0.85</v>
      </c>
      <c r="Z25" s="10">
        <f>+IF(E25=$B25,Pesos!$L$3,0)*IF(COUNTIF($C25:$W25,E25)=1,2,1)</f>
        <v>0.85</v>
      </c>
      <c r="AA25" s="10">
        <f>+IF(F25=$B25,Pesos!$L$3,0)*IF(COUNTIF($C25:$W25,F25)=1,2,1)</f>
        <v>0.85</v>
      </c>
      <c r="AB25" s="10">
        <f>+IF(G25=$B25,Pesos!$L$3,0)*IF(COUNTIF($C25:$W25,G25)=1,2,1)</f>
        <v>0.85</v>
      </c>
      <c r="AC25" s="10">
        <f>+IF(H25=$B25,Pesos!$L$3,0)*IF(COUNTIF($C25:$W25,H25)=1,2,1)</f>
        <v>0.85</v>
      </c>
      <c r="AD25" s="10">
        <f>+IF(I25=$B25,Pesos!$L$3,0)*IF(COUNTIF($C25:$W25,I25)=1,2,1)</f>
        <v>0.85</v>
      </c>
      <c r="AE25" s="10">
        <f>+IF(J25=$B25,Pesos!$L$3,0)*IF(COUNTIF($C25:$W25,J25)=1,2,1)</f>
        <v>0.85</v>
      </c>
      <c r="AF25" s="10">
        <f>+IF(K25=$B25,Pesos!$L$3,0)*IF(COUNTIF($C25:$W25,K25)=1,2,1)</f>
        <v>0.85</v>
      </c>
      <c r="AG25" s="10">
        <f>+IF(L25=$B25,Pesos!$L$3,0)*IF(COUNTIF($C25:$W25,L25)=1,2,1)</f>
        <v>0.85</v>
      </c>
      <c r="AH25" s="10">
        <f>+IF(M25=$B25,Pesos!$L$3,0)*IF(COUNTIF($C25:$W25,M25)=1,2,1)</f>
        <v>0.85</v>
      </c>
      <c r="AI25" s="10">
        <f>+IF(N25=$B25,Pesos!$L$3,0)*IF(COUNTIF($C25:$W25,N25)=1,2,1)</f>
        <v>0.85</v>
      </c>
      <c r="AJ25" s="10">
        <f>+IF(O25=$B25,Pesos!$L$3,0)*IF(COUNTIF($C25:$W25,O25)=1,2,1)</f>
        <v>0</v>
      </c>
      <c r="AK25" s="10">
        <f>+IF(P25=$B25,Pesos!$L$3,0)*IF(COUNTIF($C25:$W25,P25)=1,2,1)</f>
        <v>0.85</v>
      </c>
      <c r="AL25" s="10">
        <f>+IF(Q25=$B25,Pesos!$L$3,0)*IF(COUNTIF($C25:$W25,Q25)=1,2,1)</f>
        <v>0.85</v>
      </c>
      <c r="AM25" s="10">
        <f>+IF(R25=$B25,Pesos!$L$3,0)*IF(COUNTIF($C25:$W25,R25)=1,2,1)</f>
        <v>0.85</v>
      </c>
      <c r="AN25" s="10">
        <f>+IF(S25=$B25,Pesos!$L$3,0)*IF(COUNTIF($C25:$W25,S25)=1,2,1)</f>
        <v>0.85</v>
      </c>
      <c r="AO25" s="10">
        <f>+IF(T25=$B25,Pesos!$L$3,0)*IF(COUNTIF($C25:$W25,T25)=1,2,1)</f>
        <v>0.85</v>
      </c>
      <c r="AP25" s="10">
        <f>+IF(U25=$B25,Pesos!$L$3,0)*IF(COUNTIF($C25:$W25,U25)=1,2,1)</f>
        <v>0.85</v>
      </c>
      <c r="AQ25" s="10">
        <f>+IF(V25=$B25,Pesos!$L$3,0)*IF(COUNTIF($C25:$W25,V25)=1,2,1)</f>
        <v>0</v>
      </c>
      <c r="AR25" s="10">
        <f>+IF(W25=$B25,Pesos!$L$3,0)*IF(COUNTIF($C25:$W25,W25)=1,2,1)</f>
        <v>0.85</v>
      </c>
    </row>
    <row r="26" ht="12.75" customHeight="1">
      <c r="A26" s="1" t="str">
        <f>'1a FASE'!A27</f>
        <v>Machtday 2</v>
      </c>
      <c r="B26" s="8" t="str">
        <f>'1a FASE'!B27</f>
        <v>Real Madrid</v>
      </c>
      <c r="C26" s="11" t="str">
        <f>'1a FASE'!C27</f>
        <v>Real Madrid</v>
      </c>
      <c r="D26" s="11" t="str">
        <f>'1a FASE'!D27</f>
        <v>Real Madrid</v>
      </c>
      <c r="E26" s="11" t="str">
        <f>'1a FASE'!E27</f>
        <v>Real Madrid</v>
      </c>
      <c r="F26" s="11" t="str">
        <f>'1a FASE'!F27</f>
        <v>Real Madrid</v>
      </c>
      <c r="G26" s="11" t="str">
        <f>'1a FASE'!G27</f>
        <v>Real Madrid</v>
      </c>
      <c r="H26" s="11" t="str">
        <f>'1a FASE'!H27</f>
        <v>Real Madrid</v>
      </c>
      <c r="I26" s="11" t="str">
        <f>'1a FASE'!I27</f>
        <v>Real Madrid</v>
      </c>
      <c r="J26" s="11" t="str">
        <f>'1a FASE'!J27</f>
        <v>Real Madrid</v>
      </c>
      <c r="K26" s="11" t="str">
        <f>'1a FASE'!K27</f>
        <v>Real Madrid</v>
      </c>
      <c r="L26" s="11" t="str">
        <f>'1a FASE'!L27</f>
        <v>Real Madrid</v>
      </c>
      <c r="M26" s="11" t="str">
        <f>'1a FASE'!M27</f>
        <v>Kairat</v>
      </c>
      <c r="N26" s="11" t="str">
        <f>'1a FASE'!N27</f>
        <v>Real Madrid</v>
      </c>
      <c r="O26" s="11" t="str">
        <f>'1a FASE'!O27</f>
        <v>Real Madrid</v>
      </c>
      <c r="P26" s="11" t="str">
        <f>'1a FASE'!P27</f>
        <v>Real Madrid</v>
      </c>
      <c r="Q26" s="11" t="str">
        <f>'1a FASE'!Q27</f>
        <v>Real Madrid</v>
      </c>
      <c r="R26" s="11" t="str">
        <f>'1a FASE'!R27</f>
        <v>Real Madrid</v>
      </c>
      <c r="S26" s="11" t="str">
        <f>'1a FASE'!S27</f>
        <v>Real Madrid</v>
      </c>
      <c r="T26" s="11" t="str">
        <f>'1a FASE'!T27</f>
        <v>Real Madrid</v>
      </c>
      <c r="U26" s="11" t="str">
        <f>'1a FASE'!U27</f>
        <v>Real Madrid</v>
      </c>
      <c r="V26" s="11" t="str">
        <f>'1a FASE'!V27</f>
        <v>Real Madrid</v>
      </c>
      <c r="W26" s="11" t="str">
        <f>'1a FASE'!W27</f>
        <v>Real Madrid</v>
      </c>
      <c r="X26" s="11">
        <f>+IF(C26=$B26,Pesos!$L$3,0)*IF(COUNTIF($C26:$W26,C26)=1,2,1)</f>
        <v>0.85</v>
      </c>
      <c r="Y26" s="11">
        <f>+IF(D26=$B26,Pesos!$L$3,0)*IF(COUNTIF($C26:$W26,D26)=1,2,1)</f>
        <v>0.85</v>
      </c>
      <c r="Z26" s="11">
        <f>+IF(E26=$B26,Pesos!$L$3,0)*IF(COUNTIF($C26:$W26,E26)=1,2,1)</f>
        <v>0.85</v>
      </c>
      <c r="AA26" s="11">
        <f>+IF(F26=$B26,Pesos!$L$3,0)*IF(COUNTIF($C26:$W26,F26)=1,2,1)</f>
        <v>0.85</v>
      </c>
      <c r="AB26" s="11">
        <f>+IF(G26=$B26,Pesos!$L$3,0)*IF(COUNTIF($C26:$W26,G26)=1,2,1)</f>
        <v>0.85</v>
      </c>
      <c r="AC26" s="11">
        <f>+IF(H26=$B26,Pesos!$L$3,0)*IF(COUNTIF($C26:$W26,H26)=1,2,1)</f>
        <v>0.85</v>
      </c>
      <c r="AD26" s="11">
        <f>+IF(I26=$B26,Pesos!$L$3,0)*IF(COUNTIF($C26:$W26,I26)=1,2,1)</f>
        <v>0.85</v>
      </c>
      <c r="AE26" s="11">
        <f>+IF(J26=$B26,Pesos!$L$3,0)*IF(COUNTIF($C26:$W26,J26)=1,2,1)</f>
        <v>0.85</v>
      </c>
      <c r="AF26" s="11">
        <f>+IF(K26=$B26,Pesos!$L$3,0)*IF(COUNTIF($C26:$W26,K26)=1,2,1)</f>
        <v>0.85</v>
      </c>
      <c r="AG26" s="11">
        <f>+IF(L26=$B26,Pesos!$L$3,0)*IF(COUNTIF($C26:$W26,L26)=1,2,1)</f>
        <v>0.85</v>
      </c>
      <c r="AH26" s="11">
        <f>+IF(M26=$B26,Pesos!$L$3,0)*IF(COUNTIF($C26:$W26,M26)=1,2,1)</f>
        <v>0</v>
      </c>
      <c r="AI26" s="11">
        <f>+IF(N26=$B26,Pesos!$L$3,0)*IF(COUNTIF($C26:$W26,N26)=1,2,1)</f>
        <v>0.85</v>
      </c>
      <c r="AJ26" s="11">
        <f>+IF(O26=$B26,Pesos!$L$3,0)*IF(COUNTIF($C26:$W26,O26)=1,2,1)</f>
        <v>0.85</v>
      </c>
      <c r="AK26" s="11">
        <f>+IF(P26=$B26,Pesos!$L$3,0)*IF(COUNTIF($C26:$W26,P26)=1,2,1)</f>
        <v>0.85</v>
      </c>
      <c r="AL26" s="11">
        <f>+IF(Q26=$B26,Pesos!$L$3,0)*IF(COUNTIF($C26:$W26,Q26)=1,2,1)</f>
        <v>0.85</v>
      </c>
      <c r="AM26" s="11">
        <f>+IF(R26=$B26,Pesos!$L$3,0)*IF(COUNTIF($C26:$W26,R26)=1,2,1)</f>
        <v>0.85</v>
      </c>
      <c r="AN26" s="11">
        <f>+IF(S26=$B26,Pesos!$L$3,0)*IF(COUNTIF($C26:$W26,S26)=1,2,1)</f>
        <v>0.85</v>
      </c>
      <c r="AO26" s="11">
        <f>+IF(T26=$B26,Pesos!$L$3,0)*IF(COUNTIF($C26:$W26,T26)=1,2,1)</f>
        <v>0.85</v>
      </c>
      <c r="AP26" s="11">
        <f>+IF(U26=$B26,Pesos!$L$3,0)*IF(COUNTIF($C26:$W26,U26)=1,2,1)</f>
        <v>0.85</v>
      </c>
      <c r="AQ26" s="11">
        <f>+IF(V26=$B26,Pesos!$L$3,0)*IF(COUNTIF($C26:$W26,V26)=1,2,1)</f>
        <v>0.85</v>
      </c>
      <c r="AR26" s="11">
        <f>+IF(W26=$B26,Pesos!$L$3,0)*IF(COUNTIF($C26:$W26,W26)=1,2,1)</f>
        <v>0.85</v>
      </c>
    </row>
    <row r="27" ht="12.75" customHeight="1">
      <c r="A27" s="1" t="str">
        <f>'1a FASE'!A28</f>
        <v>Machtday 2</v>
      </c>
      <c r="B27" s="8" t="str">
        <f>'1a FASE'!B28</f>
        <v>Internazionale</v>
      </c>
      <c r="C27" s="10" t="str">
        <f>'1a FASE'!C28</f>
        <v>Internazionale</v>
      </c>
      <c r="D27" s="10" t="str">
        <f>'1a FASE'!D28</f>
        <v>Internazionale</v>
      </c>
      <c r="E27" s="10" t="str">
        <f>'1a FASE'!E28</f>
        <v>Internazionale</v>
      </c>
      <c r="F27" s="10" t="str">
        <f>'1a FASE'!F28</f>
        <v>Internazionale</v>
      </c>
      <c r="G27" s="10" t="str">
        <f>'1a FASE'!G28</f>
        <v>Internazionale</v>
      </c>
      <c r="H27" s="10" t="str">
        <f>'1a FASE'!H28</f>
        <v>Internazionale</v>
      </c>
      <c r="I27" s="10" t="str">
        <f>'1a FASE'!I28</f>
        <v>Internazionale</v>
      </c>
      <c r="J27" s="10" t="str">
        <f>'1a FASE'!J28</f>
        <v>Internazionale</v>
      </c>
      <c r="K27" s="10" t="str">
        <f>'1a FASE'!K28</f>
        <v>Internazionale</v>
      </c>
      <c r="L27" s="10" t="str">
        <f>'1a FASE'!L28</f>
        <v>Internazionale</v>
      </c>
      <c r="M27" s="10" t="str">
        <f>'1a FASE'!M28</f>
        <v>Internazionale</v>
      </c>
      <c r="N27" s="10" t="str">
        <f>'1a FASE'!N28</f>
        <v>Internazionale</v>
      </c>
      <c r="O27" s="10" t="str">
        <f>'1a FASE'!O28</f>
        <v>Internazionale</v>
      </c>
      <c r="P27" s="10" t="str">
        <f>'1a FASE'!P28</f>
        <v>Internazionale</v>
      </c>
      <c r="Q27" s="10" t="str">
        <f>'1a FASE'!Q28</f>
        <v>Internazionale</v>
      </c>
      <c r="R27" s="10" t="str">
        <f>'1a FASE'!R28</f>
        <v>Internazionale</v>
      </c>
      <c r="S27" s="10" t="str">
        <f>'1a FASE'!S28</f>
        <v>Internazionale</v>
      </c>
      <c r="T27" s="10" t="str">
        <f>'1a FASE'!T28</f>
        <v>Internazionale</v>
      </c>
      <c r="U27" s="10" t="str">
        <f>'1a FASE'!U28</f>
        <v>Internazionale</v>
      </c>
      <c r="V27" s="10" t="str">
        <f>'1a FASE'!V28</f>
        <v>Internazionale</v>
      </c>
      <c r="W27" s="10" t="str">
        <f>'1a FASE'!W28</f>
        <v>Internazionale</v>
      </c>
      <c r="X27" s="10">
        <f>+IF(C27=$B27,Pesos!$L$3,0)*IF(COUNTIF($C27:$W27,C27)=1,2,1)</f>
        <v>0.85</v>
      </c>
      <c r="Y27" s="10">
        <f>+IF(D27=$B27,Pesos!$L$3,0)*IF(COUNTIF($C27:$W27,D27)=1,2,1)</f>
        <v>0.85</v>
      </c>
      <c r="Z27" s="10">
        <f>+IF(E27=$B27,Pesos!$L$3,0)*IF(COUNTIF($C27:$W27,E27)=1,2,1)</f>
        <v>0.85</v>
      </c>
      <c r="AA27" s="10">
        <f>+IF(F27=$B27,Pesos!$L$3,0)*IF(COUNTIF($C27:$W27,F27)=1,2,1)</f>
        <v>0.85</v>
      </c>
      <c r="AB27" s="10">
        <f>+IF(G27=$B27,Pesos!$L$3,0)*IF(COUNTIF($C27:$W27,G27)=1,2,1)</f>
        <v>0.85</v>
      </c>
      <c r="AC27" s="10">
        <f>+IF(H27=$B27,Pesos!$L$3,0)*IF(COUNTIF($C27:$W27,H27)=1,2,1)</f>
        <v>0.85</v>
      </c>
      <c r="AD27" s="10">
        <f>+IF(I27=$B27,Pesos!$L$3,0)*IF(COUNTIF($C27:$W27,I27)=1,2,1)</f>
        <v>0.85</v>
      </c>
      <c r="AE27" s="10">
        <f>+IF(J27=$B27,Pesos!$L$3,0)*IF(COUNTIF($C27:$W27,J27)=1,2,1)</f>
        <v>0.85</v>
      </c>
      <c r="AF27" s="10">
        <f>+IF(K27=$B27,Pesos!$L$3,0)*IF(COUNTIF($C27:$W27,K27)=1,2,1)</f>
        <v>0.85</v>
      </c>
      <c r="AG27" s="10">
        <f>+IF(L27=$B27,Pesos!$L$3,0)*IF(COUNTIF($C27:$W27,L27)=1,2,1)</f>
        <v>0.85</v>
      </c>
      <c r="AH27" s="10">
        <f>+IF(M27=$B27,Pesos!$L$3,0)*IF(COUNTIF($C27:$W27,M27)=1,2,1)</f>
        <v>0.85</v>
      </c>
      <c r="AI27" s="10">
        <f>+IF(N27=$B27,Pesos!$L$3,0)*IF(COUNTIF($C27:$W27,N27)=1,2,1)</f>
        <v>0.85</v>
      </c>
      <c r="AJ27" s="10">
        <f>+IF(O27=$B27,Pesos!$L$3,0)*IF(COUNTIF($C27:$W27,O27)=1,2,1)</f>
        <v>0.85</v>
      </c>
      <c r="AK27" s="10">
        <f>+IF(P27=$B27,Pesos!$L$3,0)*IF(COUNTIF($C27:$W27,P27)=1,2,1)</f>
        <v>0.85</v>
      </c>
      <c r="AL27" s="10">
        <f>+IF(Q27=$B27,Pesos!$L$3,0)*IF(COUNTIF($C27:$W27,Q27)=1,2,1)</f>
        <v>0.85</v>
      </c>
      <c r="AM27" s="10">
        <f>+IF(R27=$B27,Pesos!$L$3,0)*IF(COUNTIF($C27:$W27,R27)=1,2,1)</f>
        <v>0.85</v>
      </c>
      <c r="AN27" s="10">
        <f>+IF(S27=$B27,Pesos!$L$3,0)*IF(COUNTIF($C27:$W27,S27)=1,2,1)</f>
        <v>0.85</v>
      </c>
      <c r="AO27" s="10">
        <f>+IF(T27=$B27,Pesos!$L$3,0)*IF(COUNTIF($C27:$W27,T27)=1,2,1)</f>
        <v>0.85</v>
      </c>
      <c r="AP27" s="10">
        <f>+IF(U27=$B27,Pesos!$L$3,0)*IF(COUNTIF($C27:$W27,U27)=1,2,1)</f>
        <v>0.85</v>
      </c>
      <c r="AQ27" s="10">
        <f>+IF(V27=$B27,Pesos!$L$3,0)*IF(COUNTIF($C27:$W27,V27)=1,2,1)</f>
        <v>0.85</v>
      </c>
      <c r="AR27" s="10">
        <f>+IF(W27=$B27,Pesos!$L$3,0)*IF(COUNTIF($C27:$W27,W27)=1,2,1)</f>
        <v>0.85</v>
      </c>
    </row>
    <row r="28" ht="12.75" customHeight="1">
      <c r="A28" s="1" t="str">
        <f>'1a FASE'!A29</f>
        <v>Machtday 2</v>
      </c>
      <c r="B28" s="8" t="str">
        <f>'1a FASE'!B29</f>
        <v>Chelsea</v>
      </c>
      <c r="C28" s="11" t="str">
        <f>'1a FASE'!C29</f>
        <v>Chelsea</v>
      </c>
      <c r="D28" s="11" t="str">
        <f>'1a FASE'!D29</f>
        <v>Chelsea</v>
      </c>
      <c r="E28" s="11" t="str">
        <f>'1a FASE'!E29</f>
        <v>Chelsea</v>
      </c>
      <c r="F28" s="11" t="str">
        <f>'1a FASE'!F29</f>
        <v>Chelsea</v>
      </c>
      <c r="G28" s="11" t="str">
        <f>'1a FASE'!G29</f>
        <v>Chelsea</v>
      </c>
      <c r="H28" s="11" t="str">
        <f>'1a FASE'!H29</f>
        <v>Chelsea</v>
      </c>
      <c r="I28" s="11" t="str">
        <f>'1a FASE'!I29</f>
        <v>Chelsea</v>
      </c>
      <c r="J28" s="11" t="str">
        <f>'1a FASE'!J29</f>
        <v>Chelsea</v>
      </c>
      <c r="K28" s="11" t="str">
        <f>'1a FASE'!K29</f>
        <v>Chelsea</v>
      </c>
      <c r="L28" s="11" t="str">
        <f>'1a FASE'!L29</f>
        <v>Chelsea</v>
      </c>
      <c r="M28" s="11" t="str">
        <f>'1a FASE'!M29</f>
        <v>Chelsea</v>
      </c>
      <c r="N28" s="11" t="str">
        <f>'1a FASE'!N29</f>
        <v>Chelsea</v>
      </c>
      <c r="O28" s="11" t="str">
        <f>'1a FASE'!O29</f>
        <v>Chelsea</v>
      </c>
      <c r="P28" s="11" t="str">
        <f>'1a FASE'!P29</f>
        <v>Chelsea</v>
      </c>
      <c r="Q28" s="11" t="str">
        <f>'1a FASE'!Q29</f>
        <v>Chelsea</v>
      </c>
      <c r="R28" s="11" t="str">
        <f>'1a FASE'!R29</f>
        <v>Chelsea</v>
      </c>
      <c r="S28" s="11" t="str">
        <f>'1a FASE'!S29</f>
        <v>Chelsea</v>
      </c>
      <c r="T28" s="11" t="str">
        <f>'1a FASE'!T29</f>
        <v>Chelsea</v>
      </c>
      <c r="U28" s="11" t="str">
        <f>'1a FASE'!U29</f>
        <v>Chelsea</v>
      </c>
      <c r="V28" s="11" t="str">
        <f>'1a FASE'!V29</f>
        <v>Chelsea</v>
      </c>
      <c r="W28" s="11" t="str">
        <f>'1a FASE'!W29</f>
        <v>Chelsea</v>
      </c>
      <c r="X28" s="11">
        <f>+IF(C28=$B28,Pesos!$L$3,0)*IF(COUNTIF($C28:$W28,C28)=1,2,1)</f>
        <v>0.85</v>
      </c>
      <c r="Y28" s="11">
        <f>+IF(D28=$B28,Pesos!$L$3,0)*IF(COUNTIF($C28:$W28,D28)=1,2,1)</f>
        <v>0.85</v>
      </c>
      <c r="Z28" s="11">
        <f>+IF(E28=$B28,Pesos!$L$3,0)*IF(COUNTIF($C28:$W28,E28)=1,2,1)</f>
        <v>0.85</v>
      </c>
      <c r="AA28" s="11">
        <f>+IF(F28=$B28,Pesos!$L$3,0)*IF(COUNTIF($C28:$W28,F28)=1,2,1)</f>
        <v>0.85</v>
      </c>
      <c r="AB28" s="11">
        <f>+IF(G28=$B28,Pesos!$L$3,0)*IF(COUNTIF($C28:$W28,G28)=1,2,1)</f>
        <v>0.85</v>
      </c>
      <c r="AC28" s="11">
        <f>+IF(H28=$B28,Pesos!$L$3,0)*IF(COUNTIF($C28:$W28,H28)=1,2,1)</f>
        <v>0.85</v>
      </c>
      <c r="AD28" s="11">
        <f>+IF(I28=$B28,Pesos!$L$3,0)*IF(COUNTIF($C28:$W28,I28)=1,2,1)</f>
        <v>0.85</v>
      </c>
      <c r="AE28" s="11">
        <f>+IF(J28=$B28,Pesos!$L$3,0)*IF(COUNTIF($C28:$W28,J28)=1,2,1)</f>
        <v>0.85</v>
      </c>
      <c r="AF28" s="11">
        <f>+IF(K28=$B28,Pesos!$L$3,0)*IF(COUNTIF($C28:$W28,K28)=1,2,1)</f>
        <v>0.85</v>
      </c>
      <c r="AG28" s="11">
        <f>+IF(L28=$B28,Pesos!$L$3,0)*IF(COUNTIF($C28:$W28,L28)=1,2,1)</f>
        <v>0.85</v>
      </c>
      <c r="AH28" s="11">
        <f>+IF(M28=$B28,Pesos!$L$3,0)*IF(COUNTIF($C28:$W28,M28)=1,2,1)</f>
        <v>0.85</v>
      </c>
      <c r="AI28" s="11">
        <f>+IF(N28=$B28,Pesos!$L$3,0)*IF(COUNTIF($C28:$W28,N28)=1,2,1)</f>
        <v>0.85</v>
      </c>
      <c r="AJ28" s="11">
        <f>+IF(O28=$B28,Pesos!$L$3,0)*IF(COUNTIF($C28:$W28,O28)=1,2,1)</f>
        <v>0.85</v>
      </c>
      <c r="AK28" s="11">
        <f>+IF(P28=$B28,Pesos!$L$3,0)*IF(COUNTIF($C28:$W28,P28)=1,2,1)</f>
        <v>0.85</v>
      </c>
      <c r="AL28" s="11">
        <f>+IF(Q28=$B28,Pesos!$L$3,0)*IF(COUNTIF($C28:$W28,Q28)=1,2,1)</f>
        <v>0.85</v>
      </c>
      <c r="AM28" s="11">
        <f>+IF(R28=$B28,Pesos!$L$3,0)*IF(COUNTIF($C28:$W28,R28)=1,2,1)</f>
        <v>0.85</v>
      </c>
      <c r="AN28" s="11">
        <f>+IF(S28=$B28,Pesos!$L$3,0)*IF(COUNTIF($C28:$W28,S28)=1,2,1)</f>
        <v>0.85</v>
      </c>
      <c r="AO28" s="11">
        <f>+IF(T28=$B28,Pesos!$L$3,0)*IF(COUNTIF($C28:$W28,T28)=1,2,1)</f>
        <v>0.85</v>
      </c>
      <c r="AP28" s="11">
        <f>+IF(U28=$B28,Pesos!$L$3,0)*IF(COUNTIF($C28:$W28,U28)=1,2,1)</f>
        <v>0.85</v>
      </c>
      <c r="AQ28" s="11">
        <f>+IF(V28=$B28,Pesos!$L$3,0)*IF(COUNTIF($C28:$W28,V28)=1,2,1)</f>
        <v>0.85</v>
      </c>
      <c r="AR28" s="11">
        <f>+IF(W28=$B28,Pesos!$L$3,0)*IF(COUNTIF($C28:$W28,W28)=1,2,1)</f>
        <v>0.85</v>
      </c>
    </row>
    <row r="29" ht="12.75" customHeight="1">
      <c r="A29" s="1" t="str">
        <f>'1a FASE'!A30</f>
        <v>Machtday 2</v>
      </c>
      <c r="B29" s="8" t="str">
        <f>'1a FASE'!B30</f>
        <v>Atlético de Madrid</v>
      </c>
      <c r="C29" s="10" t="str">
        <f>'1a FASE'!C30</f>
        <v>Atlético de Madrid</v>
      </c>
      <c r="D29" s="10" t="str">
        <f>'1a FASE'!D30</f>
        <v>Atlético de Madrid</v>
      </c>
      <c r="E29" s="10" t="str">
        <f>'1a FASE'!E30</f>
        <v>Atlético de Madrid</v>
      </c>
      <c r="F29" s="10" t="str">
        <f>'1a FASE'!F30</f>
        <v>Atlético de Madrid</v>
      </c>
      <c r="G29" s="10" t="str">
        <f>'1a FASE'!G30</f>
        <v>Atlético de Madrid</v>
      </c>
      <c r="H29" s="10" t="str">
        <f>'1a FASE'!H30</f>
        <v>Atlético de Madrid</v>
      </c>
      <c r="I29" s="10" t="str">
        <f>'1a FASE'!I30</f>
        <v>Atlético de Madrid</v>
      </c>
      <c r="J29" s="10" t="str">
        <f>'1a FASE'!J30</f>
        <v>Atlético de Madrid</v>
      </c>
      <c r="K29" s="10" t="str">
        <f>'1a FASE'!K30</f>
        <v>Atlético de Madrid</v>
      </c>
      <c r="L29" s="10" t="str">
        <f>'1a FASE'!L30</f>
        <v>Atlético de Madrid</v>
      </c>
      <c r="M29" s="10" t="str">
        <f>'1a FASE'!M30</f>
        <v>Atlético de Madrid</v>
      </c>
      <c r="N29" s="10" t="str">
        <f>'1a FASE'!N30</f>
        <v>Atlético de Madrid</v>
      </c>
      <c r="O29" s="10" t="str">
        <f>'1a FASE'!O30</f>
        <v>Atlético de Madrid</v>
      </c>
      <c r="P29" s="10" t="str">
        <f>'1a FASE'!P30</f>
        <v>Atlético de Madrid</v>
      </c>
      <c r="Q29" s="10" t="str">
        <f>'1a FASE'!Q30</f>
        <v>Empate</v>
      </c>
      <c r="R29" s="10" t="str">
        <f>'1a FASE'!R30</f>
        <v>Atlético de Madrid</v>
      </c>
      <c r="S29" s="10" t="str">
        <f>'1a FASE'!S30</f>
        <v>Atlético de Madrid</v>
      </c>
      <c r="T29" s="10" t="str">
        <f>'1a FASE'!T30</f>
        <v>Atlético de Madrid</v>
      </c>
      <c r="U29" s="10" t="str">
        <f>'1a FASE'!U30</f>
        <v>Atlético de Madrid</v>
      </c>
      <c r="V29" s="10" t="str">
        <f>'1a FASE'!V30</f>
        <v>Atlético de Madrid</v>
      </c>
      <c r="W29" s="10" t="str">
        <f>'1a FASE'!W30</f>
        <v>Atlético de Madrid</v>
      </c>
      <c r="X29" s="10">
        <f>+IF(C29=$B29,Pesos!$L$3,0)*IF(COUNTIF($C29:$W29,C29)=1,2,1)</f>
        <v>0.85</v>
      </c>
      <c r="Y29" s="10">
        <f>+IF(D29=$B29,Pesos!$L$3,0)*IF(COUNTIF($C29:$W29,D29)=1,2,1)</f>
        <v>0.85</v>
      </c>
      <c r="Z29" s="10">
        <f>+IF(E29=$B29,Pesos!$L$3,0)*IF(COUNTIF($C29:$W29,E29)=1,2,1)</f>
        <v>0.85</v>
      </c>
      <c r="AA29" s="10">
        <f>+IF(F29=$B29,Pesos!$L$3,0)*IF(COUNTIF($C29:$W29,F29)=1,2,1)</f>
        <v>0.85</v>
      </c>
      <c r="AB29" s="10">
        <f>+IF(G29=$B29,Pesos!$L$3,0)*IF(COUNTIF($C29:$W29,G29)=1,2,1)</f>
        <v>0.85</v>
      </c>
      <c r="AC29" s="10">
        <f>+IF(H29=$B29,Pesos!$L$3,0)*IF(COUNTIF($C29:$W29,H29)=1,2,1)</f>
        <v>0.85</v>
      </c>
      <c r="AD29" s="10">
        <f>+IF(I29=$B29,Pesos!$L$3,0)*IF(COUNTIF($C29:$W29,I29)=1,2,1)</f>
        <v>0.85</v>
      </c>
      <c r="AE29" s="10">
        <f>+IF(J29=$B29,Pesos!$L$3,0)*IF(COUNTIF($C29:$W29,J29)=1,2,1)</f>
        <v>0.85</v>
      </c>
      <c r="AF29" s="10">
        <f>+IF(K29=$B29,Pesos!$L$3,0)*IF(COUNTIF($C29:$W29,K29)=1,2,1)</f>
        <v>0.85</v>
      </c>
      <c r="AG29" s="10">
        <f>+IF(L29=$B29,Pesos!$L$3,0)*IF(COUNTIF($C29:$W29,L29)=1,2,1)</f>
        <v>0.85</v>
      </c>
      <c r="AH29" s="10">
        <f>+IF(M29=$B29,Pesos!$L$3,0)*IF(COUNTIF($C29:$W29,M29)=1,2,1)</f>
        <v>0.85</v>
      </c>
      <c r="AI29" s="10">
        <f>+IF(N29=$B29,Pesos!$L$3,0)*IF(COUNTIF($C29:$W29,N29)=1,2,1)</f>
        <v>0.85</v>
      </c>
      <c r="AJ29" s="10">
        <f>+IF(O29=$B29,Pesos!$L$3,0)*IF(COUNTIF($C29:$W29,O29)=1,2,1)</f>
        <v>0.85</v>
      </c>
      <c r="AK29" s="10">
        <f>+IF(P29=$B29,Pesos!$L$3,0)*IF(COUNTIF($C29:$W29,P29)=1,2,1)</f>
        <v>0.85</v>
      </c>
      <c r="AL29" s="10">
        <f>+IF(Q29=$B29,Pesos!$L$3,0)*IF(COUNTIF($C29:$W29,Q29)=1,2,1)</f>
        <v>0</v>
      </c>
      <c r="AM29" s="10">
        <f>+IF(R29=$B29,Pesos!$L$3,0)*IF(COUNTIF($C29:$W29,R29)=1,2,1)</f>
        <v>0.85</v>
      </c>
      <c r="AN29" s="10">
        <f>+IF(S29=$B29,Pesos!$L$3,0)*IF(COUNTIF($C29:$W29,S29)=1,2,1)</f>
        <v>0.85</v>
      </c>
      <c r="AO29" s="10">
        <f>+IF(T29=$B29,Pesos!$L$3,0)*IF(COUNTIF($C29:$W29,T29)=1,2,1)</f>
        <v>0.85</v>
      </c>
      <c r="AP29" s="10">
        <f>+IF(U29=$B29,Pesos!$L$3,0)*IF(COUNTIF($C29:$W29,U29)=1,2,1)</f>
        <v>0.85</v>
      </c>
      <c r="AQ29" s="10">
        <f>+IF(V29=$B29,Pesos!$L$3,0)*IF(COUNTIF($C29:$W29,V29)=1,2,1)</f>
        <v>0.85</v>
      </c>
      <c r="AR29" s="10">
        <f>+IF(W29=$B29,Pesos!$L$3,0)*IF(COUNTIF($C29:$W29,W29)=1,2,1)</f>
        <v>0.85</v>
      </c>
    </row>
    <row r="30" ht="12.75" customHeight="1">
      <c r="A30" s="1" t="str">
        <f>'1a FASE'!A31</f>
        <v>Machtday 2</v>
      </c>
      <c r="B30" s="8" t="str">
        <f>'1a FASE'!B31</f>
        <v>Empate</v>
      </c>
      <c r="C30" s="11" t="str">
        <f>'1a FASE'!C31</f>
        <v>Tottenham</v>
      </c>
      <c r="D30" s="11" t="str">
        <f>'1a FASE'!D31</f>
        <v>Tottenham</v>
      </c>
      <c r="E30" s="11" t="str">
        <f>'1a FASE'!E31</f>
        <v>Tottenham</v>
      </c>
      <c r="F30" s="11" t="str">
        <f>'1a FASE'!F31</f>
        <v>Tottenham</v>
      </c>
      <c r="G30" s="11" t="str">
        <f>'1a FASE'!G31</f>
        <v>Tottenham</v>
      </c>
      <c r="H30" s="11" t="str">
        <f>'1a FASE'!H31</f>
        <v>Tottenham</v>
      </c>
      <c r="I30" s="11" t="str">
        <f>'1a FASE'!I31</f>
        <v>Tottenham</v>
      </c>
      <c r="J30" s="11" t="str">
        <f>'1a FASE'!J31</f>
        <v>Tottenham</v>
      </c>
      <c r="K30" s="11" t="str">
        <f>'1a FASE'!K31</f>
        <v>Tottenham</v>
      </c>
      <c r="L30" s="11" t="str">
        <f>'1a FASE'!L31</f>
        <v>Empate</v>
      </c>
      <c r="M30" s="11" t="str">
        <f>'1a FASE'!M31</f>
        <v>Tottenham</v>
      </c>
      <c r="N30" s="11" t="str">
        <f>'1a FASE'!N31</f>
        <v>Tottenham</v>
      </c>
      <c r="O30" s="11" t="str">
        <f>'1a FASE'!O31</f>
        <v>Empate</v>
      </c>
      <c r="P30" s="11" t="str">
        <f>'1a FASE'!P31</f>
        <v>Tottenham</v>
      </c>
      <c r="Q30" s="11" t="str">
        <f>'1a FASE'!Q31</f>
        <v>Tottenham</v>
      </c>
      <c r="R30" s="11" t="str">
        <f>'1a FASE'!R31</f>
        <v>Tottenham</v>
      </c>
      <c r="S30" s="11" t="str">
        <f>'1a FASE'!S31</f>
        <v>Tottenham</v>
      </c>
      <c r="T30" s="11" t="str">
        <f>'1a FASE'!T31</f>
        <v>Empate</v>
      </c>
      <c r="U30" s="11" t="str">
        <f>'1a FASE'!U31</f>
        <v>Empate</v>
      </c>
      <c r="V30" s="11" t="str">
        <f>'1a FASE'!V31</f>
        <v>Tottenham</v>
      </c>
      <c r="W30" s="11" t="str">
        <f>'1a FASE'!W31</f>
        <v>Tottenham</v>
      </c>
      <c r="X30" s="11">
        <f>+IF(C30=$B30,Pesos!$L$3,0)*IF(COUNTIF($C30:$W30,C30)=1,2,1)</f>
        <v>0</v>
      </c>
      <c r="Y30" s="11">
        <f>+IF(D30=$B30,Pesos!$L$3,0)*IF(COUNTIF($C30:$W30,D30)=1,2,1)</f>
        <v>0</v>
      </c>
      <c r="Z30" s="11">
        <f>+IF(E30=$B30,Pesos!$L$3,0)*IF(COUNTIF($C30:$W30,E30)=1,2,1)</f>
        <v>0</v>
      </c>
      <c r="AA30" s="11">
        <f>+IF(F30=$B30,Pesos!$L$3,0)*IF(COUNTIF($C30:$W30,F30)=1,2,1)</f>
        <v>0</v>
      </c>
      <c r="AB30" s="11">
        <f>+IF(G30=$B30,Pesos!$L$3,0)*IF(COUNTIF($C30:$W30,G30)=1,2,1)</f>
        <v>0</v>
      </c>
      <c r="AC30" s="11">
        <f>+IF(H30=$B30,Pesos!$L$3,0)*IF(COUNTIF($C30:$W30,H30)=1,2,1)</f>
        <v>0</v>
      </c>
      <c r="AD30" s="11">
        <f>+IF(I30=$B30,Pesos!$L$3,0)*IF(COUNTIF($C30:$W30,I30)=1,2,1)</f>
        <v>0</v>
      </c>
      <c r="AE30" s="11">
        <f>+IF(J30=$B30,Pesos!$L$3,0)*IF(COUNTIF($C30:$W30,J30)=1,2,1)</f>
        <v>0</v>
      </c>
      <c r="AF30" s="11">
        <f>+IF(K30=$B30,Pesos!$L$3,0)*IF(COUNTIF($C30:$W30,K30)=1,2,1)</f>
        <v>0</v>
      </c>
      <c r="AG30" s="11">
        <f>+IF(L30=$B30,Pesos!$L$3,0)*IF(COUNTIF($C30:$W30,L30)=1,2,1)</f>
        <v>0.85</v>
      </c>
      <c r="AH30" s="11">
        <f>+IF(M30=$B30,Pesos!$L$3,0)*IF(COUNTIF($C30:$W30,M30)=1,2,1)</f>
        <v>0</v>
      </c>
      <c r="AI30" s="11">
        <f>+IF(N30=$B30,Pesos!$L$3,0)*IF(COUNTIF($C30:$W30,N30)=1,2,1)</f>
        <v>0</v>
      </c>
      <c r="AJ30" s="11">
        <f>+IF(O30=$B30,Pesos!$L$3,0)*IF(COUNTIF($C30:$W30,O30)=1,2,1)</f>
        <v>0.85</v>
      </c>
      <c r="AK30" s="11">
        <f>+IF(P30=$B30,Pesos!$L$3,0)*IF(COUNTIF($C30:$W30,P30)=1,2,1)</f>
        <v>0</v>
      </c>
      <c r="AL30" s="11">
        <f>+IF(Q30=$B30,Pesos!$L$3,0)*IF(COUNTIF($C30:$W30,Q30)=1,2,1)</f>
        <v>0</v>
      </c>
      <c r="AM30" s="11">
        <f>+IF(R30=$B30,Pesos!$L$3,0)*IF(COUNTIF($C30:$W30,R30)=1,2,1)</f>
        <v>0</v>
      </c>
      <c r="AN30" s="11">
        <f>+IF(S30=$B30,Pesos!$L$3,0)*IF(COUNTIF($C30:$W30,S30)=1,2,1)</f>
        <v>0</v>
      </c>
      <c r="AO30" s="11">
        <f>+IF(T30=$B30,Pesos!$L$3,0)*IF(COUNTIF($C30:$W30,T30)=1,2,1)</f>
        <v>0.85</v>
      </c>
      <c r="AP30" s="11">
        <f>+IF(U30=$B30,Pesos!$L$3,0)*IF(COUNTIF($C30:$W30,U30)=1,2,1)</f>
        <v>0.85</v>
      </c>
      <c r="AQ30" s="11">
        <f>+IF(V30=$B30,Pesos!$L$3,0)*IF(COUNTIF($C30:$W30,V30)=1,2,1)</f>
        <v>0</v>
      </c>
      <c r="AR30" s="11">
        <f>+IF(W30=$B30,Pesos!$L$3,0)*IF(COUNTIF($C30:$W30,W30)=1,2,1)</f>
        <v>0</v>
      </c>
    </row>
    <row r="31" ht="12.75" customHeight="1">
      <c r="A31" s="1" t="str">
        <f>'1a FASE'!A32</f>
        <v>Machtday 2</v>
      </c>
      <c r="B31" s="8" t="str">
        <f>'1a FASE'!B32</f>
        <v>Olympique de Marselha</v>
      </c>
      <c r="C31" s="10" t="str">
        <f>'1a FASE'!C32</f>
        <v>Olympique de Marselha</v>
      </c>
      <c r="D31" s="10" t="str">
        <f>'1a FASE'!D32</f>
        <v>Ajax</v>
      </c>
      <c r="E31" s="10" t="str">
        <f>'1a FASE'!E32</f>
        <v>Ajax</v>
      </c>
      <c r="F31" s="10" t="str">
        <f>'1a FASE'!F32</f>
        <v>Olympique de Marselha</v>
      </c>
      <c r="G31" s="10" t="str">
        <f>'1a FASE'!G32</f>
        <v>Olympique de Marselha</v>
      </c>
      <c r="H31" s="10" t="str">
        <f>'1a FASE'!H32</f>
        <v>Ajax</v>
      </c>
      <c r="I31" s="10" t="str">
        <f>'1a FASE'!I32</f>
        <v>Olympique de Marselha</v>
      </c>
      <c r="J31" s="10" t="str">
        <f>'1a FASE'!J32</f>
        <v>Olympique de Marselha</v>
      </c>
      <c r="K31" s="10" t="str">
        <f>'1a FASE'!K32</f>
        <v>Empate</v>
      </c>
      <c r="L31" s="10" t="str">
        <f>'1a FASE'!L32</f>
        <v>Empate</v>
      </c>
      <c r="M31" s="10" t="str">
        <f>'1a FASE'!M32</f>
        <v>Olympique de Marselha</v>
      </c>
      <c r="N31" s="10" t="str">
        <f>'1a FASE'!N32</f>
        <v>Olympique de Marselha</v>
      </c>
      <c r="O31" s="10" t="str">
        <f>'1a FASE'!O32</f>
        <v>Ajax</v>
      </c>
      <c r="P31" s="10" t="str">
        <f>'1a FASE'!P32</f>
        <v>Olympique de Marselha</v>
      </c>
      <c r="Q31" s="10" t="str">
        <f>'1a FASE'!Q32</f>
        <v>Olympique de Marselha</v>
      </c>
      <c r="R31" s="10" t="str">
        <f>'1a FASE'!R32</f>
        <v>Olympique de Marselha</v>
      </c>
      <c r="S31" s="10" t="str">
        <f>'1a FASE'!S32</f>
        <v>Olympique de Marselha</v>
      </c>
      <c r="T31" s="10" t="str">
        <f>'1a FASE'!T32</f>
        <v>Empate</v>
      </c>
      <c r="U31" s="10" t="str">
        <f>'1a FASE'!U32</f>
        <v>Empate</v>
      </c>
      <c r="V31" s="10" t="str">
        <f>'1a FASE'!V32</f>
        <v>Empate</v>
      </c>
      <c r="W31" s="10" t="str">
        <f>'1a FASE'!W32</f>
        <v>Olympique de Marselha</v>
      </c>
      <c r="X31" s="10">
        <f>+IF(C31=$B31,Pesos!$L$3,0)*IF(COUNTIF($C31:$W31,C31)=1,2,1)</f>
        <v>0.85</v>
      </c>
      <c r="Y31" s="10">
        <f>+IF(D31=$B31,Pesos!$L$3,0)*IF(COUNTIF($C31:$W31,D31)=1,2,1)</f>
        <v>0</v>
      </c>
      <c r="Z31" s="10">
        <f>+IF(E31=$B31,Pesos!$L$3,0)*IF(COUNTIF($C31:$W31,E31)=1,2,1)</f>
        <v>0</v>
      </c>
      <c r="AA31" s="10">
        <f>+IF(F31=$B31,Pesos!$L$3,0)*IF(COUNTIF($C31:$W31,F31)=1,2,1)</f>
        <v>0.85</v>
      </c>
      <c r="AB31" s="10">
        <f>+IF(G31=$B31,Pesos!$L$3,0)*IF(COUNTIF($C31:$W31,G31)=1,2,1)</f>
        <v>0.85</v>
      </c>
      <c r="AC31" s="10">
        <f>+IF(H31=$B31,Pesos!$L$3,0)*IF(COUNTIF($C31:$W31,H31)=1,2,1)</f>
        <v>0</v>
      </c>
      <c r="AD31" s="10">
        <f>+IF(I31=$B31,Pesos!$L$3,0)*IF(COUNTIF($C31:$W31,I31)=1,2,1)</f>
        <v>0.85</v>
      </c>
      <c r="AE31" s="10">
        <f>+IF(J31=$B31,Pesos!$L$3,0)*IF(COUNTIF($C31:$W31,J31)=1,2,1)</f>
        <v>0.85</v>
      </c>
      <c r="AF31" s="10">
        <f>+IF(K31=$B31,Pesos!$L$3,0)*IF(COUNTIF($C31:$W31,K31)=1,2,1)</f>
        <v>0</v>
      </c>
      <c r="AG31" s="10">
        <f>+IF(L31=$B31,Pesos!$L$3,0)*IF(COUNTIF($C31:$W31,L31)=1,2,1)</f>
        <v>0</v>
      </c>
      <c r="AH31" s="10">
        <f>+IF(M31=$B31,Pesos!$L$3,0)*IF(COUNTIF($C31:$W31,M31)=1,2,1)</f>
        <v>0.85</v>
      </c>
      <c r="AI31" s="10">
        <f>+IF(N31=$B31,Pesos!$L$3,0)*IF(COUNTIF($C31:$W31,N31)=1,2,1)</f>
        <v>0.85</v>
      </c>
      <c r="AJ31" s="10">
        <f>+IF(O31=$B31,Pesos!$L$3,0)*IF(COUNTIF($C31:$W31,O31)=1,2,1)</f>
        <v>0</v>
      </c>
      <c r="AK31" s="10">
        <f>+IF(P31=$B31,Pesos!$L$3,0)*IF(COUNTIF($C31:$W31,P31)=1,2,1)</f>
        <v>0.85</v>
      </c>
      <c r="AL31" s="10">
        <f>+IF(Q31=$B31,Pesos!$L$3,0)*IF(COUNTIF($C31:$W31,Q31)=1,2,1)</f>
        <v>0.85</v>
      </c>
      <c r="AM31" s="10">
        <f>+IF(R31=$B31,Pesos!$L$3,0)*IF(COUNTIF($C31:$W31,R31)=1,2,1)</f>
        <v>0.85</v>
      </c>
      <c r="AN31" s="10">
        <f>+IF(S31=$B31,Pesos!$L$3,0)*IF(COUNTIF($C31:$W31,S31)=1,2,1)</f>
        <v>0.85</v>
      </c>
      <c r="AO31" s="10">
        <f>+IF(T31=$B31,Pesos!$L$3,0)*IF(COUNTIF($C31:$W31,T31)=1,2,1)</f>
        <v>0</v>
      </c>
      <c r="AP31" s="10">
        <f>+IF(U31=$B31,Pesos!$L$3,0)*IF(COUNTIF($C31:$W31,U31)=1,2,1)</f>
        <v>0</v>
      </c>
      <c r="AQ31" s="10">
        <f>+IF(V31=$B31,Pesos!$L$3,0)*IF(COUNTIF($C31:$W31,V31)=1,2,1)</f>
        <v>0</v>
      </c>
      <c r="AR31" s="10">
        <f>+IF(W31=$B31,Pesos!$L$3,0)*IF(COUNTIF($C31:$W31,W31)=1,2,1)</f>
        <v>0.85</v>
      </c>
    </row>
    <row r="32" ht="12.75" customHeight="1">
      <c r="A32" s="1" t="str">
        <f>'1a FASE'!A33</f>
        <v>Machtday 2</v>
      </c>
      <c r="B32" s="8" t="str">
        <f>'1a FASE'!B33</f>
        <v>Galatasaray</v>
      </c>
      <c r="C32" s="11" t="str">
        <f>'1a FASE'!C33</f>
        <v>Liverpool</v>
      </c>
      <c r="D32" s="11" t="str">
        <f>'1a FASE'!D33</f>
        <v>Liverpool</v>
      </c>
      <c r="E32" s="11" t="str">
        <f>'1a FASE'!E33</f>
        <v>Liverpool</v>
      </c>
      <c r="F32" s="11" t="str">
        <f>'1a FASE'!F33</f>
        <v>Liverpool</v>
      </c>
      <c r="G32" s="11" t="str">
        <f>'1a FASE'!G33</f>
        <v>Empate</v>
      </c>
      <c r="H32" s="11" t="str">
        <f>'1a FASE'!H33</f>
        <v>Liverpool</v>
      </c>
      <c r="I32" s="11" t="str">
        <f>'1a FASE'!I33</f>
        <v>Empate</v>
      </c>
      <c r="J32" s="11" t="str">
        <f>'1a FASE'!J33</f>
        <v>Liverpool</v>
      </c>
      <c r="K32" s="11" t="str">
        <f>'1a FASE'!K33</f>
        <v>Liverpool</v>
      </c>
      <c r="L32" s="11" t="str">
        <f>'1a FASE'!L33</f>
        <v>Liverpool</v>
      </c>
      <c r="M32" s="11" t="str">
        <f>'1a FASE'!M33</f>
        <v>Liverpool</v>
      </c>
      <c r="N32" s="11" t="str">
        <f>'1a FASE'!N33</f>
        <v>Liverpool</v>
      </c>
      <c r="O32" s="11" t="str">
        <f>'1a FASE'!O33</f>
        <v>Empate</v>
      </c>
      <c r="P32" s="11" t="str">
        <f>'1a FASE'!P33</f>
        <v>Liverpool</v>
      </c>
      <c r="Q32" s="11" t="str">
        <f>'1a FASE'!Q33</f>
        <v>Liverpool</v>
      </c>
      <c r="R32" s="11" t="str">
        <f>'1a FASE'!R33</f>
        <v>Liverpool</v>
      </c>
      <c r="S32" s="11" t="str">
        <f>'1a FASE'!S33</f>
        <v>Liverpool</v>
      </c>
      <c r="T32" s="11" t="str">
        <f>'1a FASE'!T33</f>
        <v>Empate</v>
      </c>
      <c r="U32" s="11" t="str">
        <f>'1a FASE'!U33</f>
        <v>Liverpool</v>
      </c>
      <c r="V32" s="11" t="str">
        <f>'1a FASE'!V33</f>
        <v>Liverpool</v>
      </c>
      <c r="W32" s="11" t="str">
        <f>'1a FASE'!W33</f>
        <v>Liverpool</v>
      </c>
      <c r="X32" s="11">
        <f>+IF(C32=$B32,Pesos!$L$3,0)*IF(COUNTIF($C32:$W32,C32)=1,2,1)</f>
        <v>0</v>
      </c>
      <c r="Y32" s="11">
        <f>+IF(D32=$B32,Pesos!$L$3,0)*IF(COUNTIF($C32:$W32,D32)=1,2,1)</f>
        <v>0</v>
      </c>
      <c r="Z32" s="11">
        <f>+IF(E32=$B32,Pesos!$L$3,0)*IF(COUNTIF($C32:$W32,E32)=1,2,1)</f>
        <v>0</v>
      </c>
      <c r="AA32" s="11">
        <f>+IF(F32=$B32,Pesos!$L$3,0)*IF(COUNTIF($C32:$W32,F32)=1,2,1)</f>
        <v>0</v>
      </c>
      <c r="AB32" s="11">
        <f>+IF(G32=$B32,Pesos!$L$3,0)*IF(COUNTIF($C32:$W32,G32)=1,2,1)</f>
        <v>0</v>
      </c>
      <c r="AC32" s="11">
        <f>+IF(H32=$B32,Pesos!$L$3,0)*IF(COUNTIF($C32:$W32,H32)=1,2,1)</f>
        <v>0</v>
      </c>
      <c r="AD32" s="11">
        <f>+IF(I32=$B32,Pesos!$L$3,0)*IF(COUNTIF($C32:$W32,I32)=1,2,1)</f>
        <v>0</v>
      </c>
      <c r="AE32" s="11">
        <f>+IF(J32=$B32,Pesos!$L$3,0)*IF(COUNTIF($C32:$W32,J32)=1,2,1)</f>
        <v>0</v>
      </c>
      <c r="AF32" s="11">
        <f>+IF(K32=$B32,Pesos!$L$3,0)*IF(COUNTIF($C32:$W32,K32)=1,2,1)</f>
        <v>0</v>
      </c>
      <c r="AG32" s="11">
        <f>+IF(L32=$B32,Pesos!$L$3,0)*IF(COUNTIF($C32:$W32,L32)=1,2,1)</f>
        <v>0</v>
      </c>
      <c r="AH32" s="11">
        <f>+IF(M32=$B32,Pesos!$L$3,0)*IF(COUNTIF($C32:$W32,M32)=1,2,1)</f>
        <v>0</v>
      </c>
      <c r="AI32" s="11">
        <f>+IF(N32=$B32,Pesos!$L$3,0)*IF(COUNTIF($C32:$W32,N32)=1,2,1)</f>
        <v>0</v>
      </c>
      <c r="AJ32" s="11">
        <f>+IF(O32=$B32,Pesos!$L$3,0)*IF(COUNTIF($C32:$W32,O32)=1,2,1)</f>
        <v>0</v>
      </c>
      <c r="AK32" s="11">
        <f>+IF(P32=$B32,Pesos!$L$3,0)*IF(COUNTIF($C32:$W32,P32)=1,2,1)</f>
        <v>0</v>
      </c>
      <c r="AL32" s="11">
        <f>+IF(Q32=$B32,Pesos!$L$3,0)*IF(COUNTIF($C32:$W32,Q32)=1,2,1)</f>
        <v>0</v>
      </c>
      <c r="AM32" s="11">
        <f>+IF(R32=$B32,Pesos!$L$3,0)*IF(COUNTIF($C32:$W32,R32)=1,2,1)</f>
        <v>0</v>
      </c>
      <c r="AN32" s="11">
        <f>+IF(S32=$B32,Pesos!$L$3,0)*IF(COUNTIF($C32:$W32,S32)=1,2,1)</f>
        <v>0</v>
      </c>
      <c r="AO32" s="11">
        <f>+IF(T32=$B32,Pesos!$L$3,0)*IF(COUNTIF($C32:$W32,T32)=1,2,1)</f>
        <v>0</v>
      </c>
      <c r="AP32" s="11">
        <f>+IF(U32=$B32,Pesos!$L$3,0)*IF(COUNTIF($C32:$W32,U32)=1,2,1)</f>
        <v>0</v>
      </c>
      <c r="AQ32" s="11">
        <f>+IF(V32=$B32,Pesos!$L$3,0)*IF(COUNTIF($C32:$W32,V32)=1,2,1)</f>
        <v>0</v>
      </c>
      <c r="AR32" s="11">
        <f>+IF(W32=$B32,Pesos!$L$3,0)*IF(COUNTIF($C32:$W32,W32)=1,2,1)</f>
        <v>0</v>
      </c>
    </row>
    <row r="33" ht="12.75" customHeight="1">
      <c r="A33" s="1" t="str">
        <f>'1a FASE'!A34</f>
        <v>Machtday 2</v>
      </c>
      <c r="B33" s="8" t="str">
        <f>'1a FASE'!B34</f>
        <v>Bayern de Munique</v>
      </c>
      <c r="C33" s="10" t="str">
        <f>'1a FASE'!C34</f>
        <v>Bayern de Munique</v>
      </c>
      <c r="D33" s="10" t="str">
        <f>'1a FASE'!D34</f>
        <v>Bayern de Munique</v>
      </c>
      <c r="E33" s="10" t="str">
        <f>'1a FASE'!E34</f>
        <v>Bayern de Munique</v>
      </c>
      <c r="F33" s="10" t="str">
        <f>'1a FASE'!F34</f>
        <v>Bayern de Munique</v>
      </c>
      <c r="G33" s="10" t="str">
        <f>'1a FASE'!G34</f>
        <v>Bayern de Munique</v>
      </c>
      <c r="H33" s="10" t="str">
        <f>'1a FASE'!H34</f>
        <v>Bayern de Munique</v>
      </c>
      <c r="I33" s="10" t="str">
        <f>'1a FASE'!I34</f>
        <v>Bayern de Munique</v>
      </c>
      <c r="J33" s="10" t="str">
        <f>'1a FASE'!J34</f>
        <v>Bayern de Munique</v>
      </c>
      <c r="K33" s="10" t="str">
        <f>'1a FASE'!K34</f>
        <v>Bayern de Munique</v>
      </c>
      <c r="L33" s="10" t="str">
        <f>'1a FASE'!L34</f>
        <v>Bayern de Munique</v>
      </c>
      <c r="M33" s="10" t="str">
        <f>'1a FASE'!M34</f>
        <v>Bayern de Munique</v>
      </c>
      <c r="N33" s="10" t="str">
        <f>'1a FASE'!N34</f>
        <v>Bayern de Munique</v>
      </c>
      <c r="O33" s="10" t="str">
        <f>'1a FASE'!O34</f>
        <v>Bayern de Munique</v>
      </c>
      <c r="P33" s="10" t="str">
        <f>'1a FASE'!P34</f>
        <v>Bayern de Munique</v>
      </c>
      <c r="Q33" s="10" t="str">
        <f>'1a FASE'!Q34</f>
        <v>Bayern de Munique</v>
      </c>
      <c r="R33" s="10" t="str">
        <f>'1a FASE'!R34</f>
        <v>Bayern de Munique</v>
      </c>
      <c r="S33" s="10" t="str">
        <f>'1a FASE'!S34</f>
        <v>Bayern de Munique</v>
      </c>
      <c r="T33" s="10" t="str">
        <f>'1a FASE'!T34</f>
        <v>Bayern de Munique</v>
      </c>
      <c r="U33" s="10" t="str">
        <f>'1a FASE'!U34</f>
        <v>Bayern de Munique</v>
      </c>
      <c r="V33" s="10" t="str">
        <f>'1a FASE'!V34</f>
        <v>Bayern de Munique</v>
      </c>
      <c r="W33" s="10" t="str">
        <f>'1a FASE'!W34</f>
        <v>Bayern de Munique</v>
      </c>
      <c r="X33" s="10">
        <f>+IF(C33=$B33,Pesos!$L$3,0)*IF(COUNTIF($C33:$W33,C33)=1,2,1)</f>
        <v>0.85</v>
      </c>
      <c r="Y33" s="10">
        <f>+IF(D33=$B33,Pesos!$L$3,0)*IF(COUNTIF($C33:$W33,D33)=1,2,1)</f>
        <v>0.85</v>
      </c>
      <c r="Z33" s="10">
        <f>+IF(E33=$B33,Pesos!$L$3,0)*IF(COUNTIF($C33:$W33,E33)=1,2,1)</f>
        <v>0.85</v>
      </c>
      <c r="AA33" s="10">
        <f>+IF(F33=$B33,Pesos!$L$3,0)*IF(COUNTIF($C33:$W33,F33)=1,2,1)</f>
        <v>0.85</v>
      </c>
      <c r="AB33" s="10">
        <f>+IF(G33=$B33,Pesos!$L$3,0)*IF(COUNTIF($C33:$W33,G33)=1,2,1)</f>
        <v>0.85</v>
      </c>
      <c r="AC33" s="10">
        <f>+IF(H33=$B33,Pesos!$L$3,0)*IF(COUNTIF($C33:$W33,H33)=1,2,1)</f>
        <v>0.85</v>
      </c>
      <c r="AD33" s="10">
        <f>+IF(I33=$B33,Pesos!$L$3,0)*IF(COUNTIF($C33:$W33,I33)=1,2,1)</f>
        <v>0.85</v>
      </c>
      <c r="AE33" s="10">
        <f>+IF(J33=$B33,Pesos!$L$3,0)*IF(COUNTIF($C33:$W33,J33)=1,2,1)</f>
        <v>0.85</v>
      </c>
      <c r="AF33" s="10">
        <f>+IF(K33=$B33,Pesos!$L$3,0)*IF(COUNTIF($C33:$W33,K33)=1,2,1)</f>
        <v>0.85</v>
      </c>
      <c r="AG33" s="10">
        <f>+IF(L33=$B33,Pesos!$L$3,0)*IF(COUNTIF($C33:$W33,L33)=1,2,1)</f>
        <v>0.85</v>
      </c>
      <c r="AH33" s="10">
        <f>+IF(M33=$B33,Pesos!$L$3,0)*IF(COUNTIF($C33:$W33,M33)=1,2,1)</f>
        <v>0.85</v>
      </c>
      <c r="AI33" s="10">
        <f>+IF(N33=$B33,Pesos!$L$3,0)*IF(COUNTIF($C33:$W33,N33)=1,2,1)</f>
        <v>0.85</v>
      </c>
      <c r="AJ33" s="10">
        <f>+IF(O33=$B33,Pesos!$L$3,0)*IF(COUNTIF($C33:$W33,O33)=1,2,1)</f>
        <v>0.85</v>
      </c>
      <c r="AK33" s="10">
        <f>+IF(P33=$B33,Pesos!$L$3,0)*IF(COUNTIF($C33:$W33,P33)=1,2,1)</f>
        <v>0.85</v>
      </c>
      <c r="AL33" s="10">
        <f>+IF(Q33=$B33,Pesos!$L$3,0)*IF(COUNTIF($C33:$W33,Q33)=1,2,1)</f>
        <v>0.85</v>
      </c>
      <c r="AM33" s="10">
        <f>+IF(R33=$B33,Pesos!$L$3,0)*IF(COUNTIF($C33:$W33,R33)=1,2,1)</f>
        <v>0.85</v>
      </c>
      <c r="AN33" s="10">
        <f>+IF(S33=$B33,Pesos!$L$3,0)*IF(COUNTIF($C33:$W33,S33)=1,2,1)</f>
        <v>0.85</v>
      </c>
      <c r="AO33" s="10">
        <f>+IF(T33=$B33,Pesos!$L$3,0)*IF(COUNTIF($C33:$W33,T33)=1,2,1)</f>
        <v>0.85</v>
      </c>
      <c r="AP33" s="10">
        <f>+IF(U33=$B33,Pesos!$L$3,0)*IF(COUNTIF($C33:$W33,U33)=1,2,1)</f>
        <v>0.85</v>
      </c>
      <c r="AQ33" s="10">
        <f>+IF(V33=$B33,Pesos!$L$3,0)*IF(COUNTIF($C33:$W33,V33)=1,2,1)</f>
        <v>0.85</v>
      </c>
      <c r="AR33" s="10">
        <f>+IF(W33=$B33,Pesos!$L$3,0)*IF(COUNTIF($C33:$W33,W33)=1,2,1)</f>
        <v>0.85</v>
      </c>
    </row>
    <row r="34" ht="12.75" customHeight="1">
      <c r="A34" s="1" t="str">
        <f>'1a FASE'!A35</f>
        <v>Machtday 2</v>
      </c>
      <c r="B34" s="8" t="str">
        <f>'1a FASE'!B35</f>
        <v>Newcastle</v>
      </c>
      <c r="C34" s="11" t="str">
        <f>'1a FASE'!C35</f>
        <v>Newcastle</v>
      </c>
      <c r="D34" s="11" t="str">
        <f>'1a FASE'!D35</f>
        <v>Newcastle</v>
      </c>
      <c r="E34" s="11" t="str">
        <f>'1a FASE'!E35</f>
        <v>Newcastle</v>
      </c>
      <c r="F34" s="11" t="str">
        <f>'1a FASE'!F35</f>
        <v>Newcastle</v>
      </c>
      <c r="G34" s="11" t="str">
        <f>'1a FASE'!G35</f>
        <v>Newcastle</v>
      </c>
      <c r="H34" s="11" t="str">
        <f>'1a FASE'!H35</f>
        <v>Newcastle</v>
      </c>
      <c r="I34" s="11" t="str">
        <f>'1a FASE'!I35</f>
        <v>Newcastle</v>
      </c>
      <c r="J34" s="11" t="str">
        <f>'1a FASE'!J35</f>
        <v>Newcastle</v>
      </c>
      <c r="K34" s="11" t="str">
        <f>'1a FASE'!K35</f>
        <v>Newcastle</v>
      </c>
      <c r="L34" s="11" t="str">
        <f>'1a FASE'!L35</f>
        <v>Newcastle</v>
      </c>
      <c r="M34" s="11" t="str">
        <f>'1a FASE'!M35</f>
        <v>Newcastle</v>
      </c>
      <c r="N34" s="11" t="str">
        <f>'1a FASE'!N35</f>
        <v>Newcastle</v>
      </c>
      <c r="O34" s="11" t="str">
        <f>'1a FASE'!O35</f>
        <v>Newcastle</v>
      </c>
      <c r="P34" s="11" t="str">
        <f>'1a FASE'!P35</f>
        <v>Newcastle</v>
      </c>
      <c r="Q34" s="11" t="str">
        <f>'1a FASE'!Q35</f>
        <v>Newcastle</v>
      </c>
      <c r="R34" s="11" t="str">
        <f>'1a FASE'!R35</f>
        <v>Newcastle</v>
      </c>
      <c r="S34" s="11" t="str">
        <f>'1a FASE'!S35</f>
        <v>Newcastle</v>
      </c>
      <c r="T34" s="11" t="str">
        <f>'1a FASE'!T35</f>
        <v>Newcastle</v>
      </c>
      <c r="U34" s="11" t="str">
        <f>'1a FASE'!U35</f>
        <v>Newcastle</v>
      </c>
      <c r="V34" s="11" t="str">
        <f>'1a FASE'!V35</f>
        <v>Newcastle</v>
      </c>
      <c r="W34" s="11" t="str">
        <f>'1a FASE'!W35</f>
        <v>Newcastle</v>
      </c>
      <c r="X34" s="11">
        <f>+IF(C34=$B34,Pesos!$L$3,0)*IF(COUNTIF($C34:$W34,C34)=1,2,1)</f>
        <v>0.85</v>
      </c>
      <c r="Y34" s="11">
        <f>+IF(D34=$B34,Pesos!$L$3,0)*IF(COUNTIF($C34:$W34,D34)=1,2,1)</f>
        <v>0.85</v>
      </c>
      <c r="Z34" s="11">
        <f>+IF(E34=$B34,Pesos!$L$3,0)*IF(COUNTIF($C34:$W34,E34)=1,2,1)</f>
        <v>0.85</v>
      </c>
      <c r="AA34" s="11">
        <f>+IF(F34=$B34,Pesos!$L$3,0)*IF(COUNTIF($C34:$W34,F34)=1,2,1)</f>
        <v>0.85</v>
      </c>
      <c r="AB34" s="11">
        <f>+IF(G34=$B34,Pesos!$L$3,0)*IF(COUNTIF($C34:$W34,G34)=1,2,1)</f>
        <v>0.85</v>
      </c>
      <c r="AC34" s="11">
        <f>+IF(H34=$B34,Pesos!$L$3,0)*IF(COUNTIF($C34:$W34,H34)=1,2,1)</f>
        <v>0.85</v>
      </c>
      <c r="AD34" s="11">
        <f>+IF(I34=$B34,Pesos!$L$3,0)*IF(COUNTIF($C34:$W34,I34)=1,2,1)</f>
        <v>0.85</v>
      </c>
      <c r="AE34" s="11">
        <f>+IF(J34=$B34,Pesos!$L$3,0)*IF(COUNTIF($C34:$W34,J34)=1,2,1)</f>
        <v>0.85</v>
      </c>
      <c r="AF34" s="11">
        <f>+IF(K34=$B34,Pesos!$L$3,0)*IF(COUNTIF($C34:$W34,K34)=1,2,1)</f>
        <v>0.85</v>
      </c>
      <c r="AG34" s="11">
        <f>+IF(L34=$B34,Pesos!$L$3,0)*IF(COUNTIF($C34:$W34,L34)=1,2,1)</f>
        <v>0.85</v>
      </c>
      <c r="AH34" s="11">
        <f>+IF(M34=$B34,Pesos!$L$3,0)*IF(COUNTIF($C34:$W34,M34)=1,2,1)</f>
        <v>0.85</v>
      </c>
      <c r="AI34" s="11">
        <f>+IF(N34=$B34,Pesos!$L$3,0)*IF(COUNTIF($C34:$W34,N34)=1,2,1)</f>
        <v>0.85</v>
      </c>
      <c r="AJ34" s="11">
        <f>+IF(O34=$B34,Pesos!$L$3,0)*IF(COUNTIF($C34:$W34,O34)=1,2,1)</f>
        <v>0.85</v>
      </c>
      <c r="AK34" s="11">
        <f>+IF(P34=$B34,Pesos!$L$3,0)*IF(COUNTIF($C34:$W34,P34)=1,2,1)</f>
        <v>0.85</v>
      </c>
      <c r="AL34" s="11">
        <f>+IF(Q34=$B34,Pesos!$L$3,0)*IF(COUNTIF($C34:$W34,Q34)=1,2,1)</f>
        <v>0.85</v>
      </c>
      <c r="AM34" s="11">
        <f>+IF(R34=$B34,Pesos!$L$3,0)*IF(COUNTIF($C34:$W34,R34)=1,2,1)</f>
        <v>0.85</v>
      </c>
      <c r="AN34" s="11">
        <f>+IF(S34=$B34,Pesos!$L$3,0)*IF(COUNTIF($C34:$W34,S34)=1,2,1)</f>
        <v>0.85</v>
      </c>
      <c r="AO34" s="11">
        <f>+IF(T34=$B34,Pesos!$L$3,0)*IF(COUNTIF($C34:$W34,T34)=1,2,1)</f>
        <v>0.85</v>
      </c>
      <c r="AP34" s="11">
        <f>+IF(U34=$B34,Pesos!$L$3,0)*IF(COUNTIF($C34:$W34,U34)=1,2,1)</f>
        <v>0.85</v>
      </c>
      <c r="AQ34" s="11">
        <f>+IF(V34=$B34,Pesos!$L$3,0)*IF(COUNTIF($C34:$W34,V34)=1,2,1)</f>
        <v>0.85</v>
      </c>
      <c r="AR34" s="11">
        <f>+IF(W34=$B34,Pesos!$L$3,0)*IF(COUNTIF($C34:$W34,W34)=1,2,1)</f>
        <v>0.85</v>
      </c>
    </row>
    <row r="35" ht="12.75" customHeight="1">
      <c r="A35" s="1" t="str">
        <f>'1a FASE'!A36</f>
        <v>Machtday 2</v>
      </c>
      <c r="B35" s="8" t="str">
        <f>'1a FASE'!B36</f>
        <v>Qarabag</v>
      </c>
      <c r="C35" s="10" t="str">
        <f>'1a FASE'!C36</f>
        <v>Copenhagen</v>
      </c>
      <c r="D35" s="10" t="str">
        <f>'1a FASE'!D36</f>
        <v>Qarabag</v>
      </c>
      <c r="E35" s="10" t="str">
        <f>'1a FASE'!E36</f>
        <v>Copenhagen</v>
      </c>
      <c r="F35" s="10" t="str">
        <f>'1a FASE'!F36</f>
        <v>Copenhagen</v>
      </c>
      <c r="G35" s="10" t="str">
        <f>'1a FASE'!G36</f>
        <v>Empate</v>
      </c>
      <c r="H35" s="10" t="str">
        <f>'1a FASE'!H36</f>
        <v>Qarabag</v>
      </c>
      <c r="I35" s="10" t="str">
        <f>'1a FASE'!I36</f>
        <v>Empate</v>
      </c>
      <c r="J35" s="10" t="str">
        <f>'1a FASE'!J36</f>
        <v>Empate</v>
      </c>
      <c r="K35" s="10" t="str">
        <f>'1a FASE'!K36</f>
        <v>Copenhagen</v>
      </c>
      <c r="L35" s="10" t="str">
        <f>'1a FASE'!L36</f>
        <v>Qarabag</v>
      </c>
      <c r="M35" s="10" t="str">
        <f>'1a FASE'!M36</f>
        <v>Empate</v>
      </c>
      <c r="N35" s="10" t="str">
        <f>'1a FASE'!N36</f>
        <v>Copenhagen</v>
      </c>
      <c r="O35" s="10" t="str">
        <f>'1a FASE'!O36</f>
        <v>Empate</v>
      </c>
      <c r="P35" s="10" t="str">
        <f>'1a FASE'!P36</f>
        <v>Qarabag</v>
      </c>
      <c r="Q35" s="10" t="str">
        <f>'1a FASE'!Q36</f>
        <v>Qarabag</v>
      </c>
      <c r="R35" s="10" t="str">
        <f>'1a FASE'!R36</f>
        <v>Qarabag</v>
      </c>
      <c r="S35" s="10" t="str">
        <f>'1a FASE'!S36</f>
        <v>Copenhagen</v>
      </c>
      <c r="T35" s="10" t="str">
        <f>'1a FASE'!T36</f>
        <v>Copenhagen</v>
      </c>
      <c r="U35" s="10" t="str">
        <f>'1a FASE'!U36</f>
        <v>Empate</v>
      </c>
      <c r="V35" s="10" t="str">
        <f>'1a FASE'!V36</f>
        <v>Empate</v>
      </c>
      <c r="W35" s="10" t="str">
        <f>'1a FASE'!W36</f>
        <v>Copenhagen</v>
      </c>
      <c r="X35" s="10">
        <f>+IF(C35=$B35,Pesos!$L$3,0)*IF(COUNTIF($C35:$W35,C35)=1,2,1)</f>
        <v>0</v>
      </c>
      <c r="Y35" s="10">
        <f>+IF(D35=$B35,Pesos!$L$3,0)*IF(COUNTIF($C35:$W35,D35)=1,2,1)</f>
        <v>0.85</v>
      </c>
      <c r="Z35" s="10">
        <f>+IF(E35=$B35,Pesos!$L$3,0)*IF(COUNTIF($C35:$W35,E35)=1,2,1)</f>
        <v>0</v>
      </c>
      <c r="AA35" s="10">
        <f>+IF(F35=$B35,Pesos!$L$3,0)*IF(COUNTIF($C35:$W35,F35)=1,2,1)</f>
        <v>0</v>
      </c>
      <c r="AB35" s="10">
        <f>+IF(G35=$B35,Pesos!$L$3,0)*IF(COUNTIF($C35:$W35,G35)=1,2,1)</f>
        <v>0</v>
      </c>
      <c r="AC35" s="10">
        <f>+IF(H35=$B35,Pesos!$L$3,0)*IF(COUNTIF($C35:$W35,H35)=1,2,1)</f>
        <v>0.85</v>
      </c>
      <c r="AD35" s="10">
        <f>+IF(I35=$B35,Pesos!$L$3,0)*IF(COUNTIF($C35:$W35,I35)=1,2,1)</f>
        <v>0</v>
      </c>
      <c r="AE35" s="10">
        <f>+IF(J35=$B35,Pesos!$L$3,0)*IF(COUNTIF($C35:$W35,J35)=1,2,1)</f>
        <v>0</v>
      </c>
      <c r="AF35" s="10">
        <f>+IF(K35=$B35,Pesos!$L$3,0)*IF(COUNTIF($C35:$W35,K35)=1,2,1)</f>
        <v>0</v>
      </c>
      <c r="AG35" s="10">
        <f>+IF(L35=$B35,Pesos!$L$3,0)*IF(COUNTIF($C35:$W35,L35)=1,2,1)</f>
        <v>0.85</v>
      </c>
      <c r="AH35" s="10">
        <f>+IF(M35=$B35,Pesos!$L$3,0)*IF(COUNTIF($C35:$W35,M35)=1,2,1)</f>
        <v>0</v>
      </c>
      <c r="AI35" s="10">
        <f>+IF(N35=$B35,Pesos!$L$3,0)*IF(COUNTIF($C35:$W35,N35)=1,2,1)</f>
        <v>0</v>
      </c>
      <c r="AJ35" s="10">
        <f>+IF(O35=$B35,Pesos!$L$3,0)*IF(COUNTIF($C35:$W35,O35)=1,2,1)</f>
        <v>0</v>
      </c>
      <c r="AK35" s="10">
        <f>+IF(P35=$B35,Pesos!$L$3,0)*IF(COUNTIF($C35:$W35,P35)=1,2,1)</f>
        <v>0.85</v>
      </c>
      <c r="AL35" s="10">
        <f>+IF(Q35=$B35,Pesos!$L$3,0)*IF(COUNTIF($C35:$W35,Q35)=1,2,1)</f>
        <v>0.85</v>
      </c>
      <c r="AM35" s="10">
        <f>+IF(R35=$B35,Pesos!$L$3,0)*IF(COUNTIF($C35:$W35,R35)=1,2,1)</f>
        <v>0.85</v>
      </c>
      <c r="AN35" s="10">
        <f>+IF(S35=$B35,Pesos!$L$3,0)*IF(COUNTIF($C35:$W35,S35)=1,2,1)</f>
        <v>0</v>
      </c>
      <c r="AO35" s="10">
        <f>+IF(T35=$B35,Pesos!$L$3,0)*IF(COUNTIF($C35:$W35,T35)=1,2,1)</f>
        <v>0</v>
      </c>
      <c r="AP35" s="10">
        <f>+IF(U35=$B35,Pesos!$L$3,0)*IF(COUNTIF($C35:$W35,U35)=1,2,1)</f>
        <v>0</v>
      </c>
      <c r="AQ35" s="10">
        <f>+IF(V35=$B35,Pesos!$L$3,0)*IF(COUNTIF($C35:$W35,V35)=1,2,1)</f>
        <v>0</v>
      </c>
      <c r="AR35" s="10">
        <f>+IF(W35=$B35,Pesos!$L$3,0)*IF(COUNTIF($C35:$W35,W35)=1,2,1)</f>
        <v>0</v>
      </c>
    </row>
    <row r="36" ht="12.75" customHeight="1">
      <c r="A36" s="1" t="str">
        <f>'1a FASE'!A37</f>
        <v>Machtday 2</v>
      </c>
      <c r="B36" s="8" t="str">
        <f>'1a FASE'!B37</f>
        <v>Arsenal</v>
      </c>
      <c r="C36" s="11" t="str">
        <f>'1a FASE'!C37</f>
        <v>Arsenal</v>
      </c>
      <c r="D36" s="11" t="str">
        <f>'1a FASE'!D37</f>
        <v>Arsenal</v>
      </c>
      <c r="E36" s="11" t="str">
        <f>'1a FASE'!E37</f>
        <v>Arsenal</v>
      </c>
      <c r="F36" s="11" t="str">
        <f>'1a FASE'!F37</f>
        <v>Arsenal</v>
      </c>
      <c r="G36" s="11" t="str">
        <f>'1a FASE'!G37</f>
        <v>Arsenal</v>
      </c>
      <c r="H36" s="11" t="str">
        <f>'1a FASE'!H37</f>
        <v>Arsenal</v>
      </c>
      <c r="I36" s="11" t="str">
        <f>'1a FASE'!I37</f>
        <v>Arsenal</v>
      </c>
      <c r="J36" s="11" t="str">
        <f>'1a FASE'!J37</f>
        <v>Arsenal</v>
      </c>
      <c r="K36" s="11" t="str">
        <f>'1a FASE'!K37</f>
        <v>Arsenal</v>
      </c>
      <c r="L36" s="11" t="str">
        <f>'1a FASE'!L37</f>
        <v>Arsenal</v>
      </c>
      <c r="M36" s="11" t="str">
        <f>'1a FASE'!M37</f>
        <v>Arsenal</v>
      </c>
      <c r="N36" s="11" t="str">
        <f>'1a FASE'!N37</f>
        <v>Arsenal</v>
      </c>
      <c r="O36" s="11" t="str">
        <f>'1a FASE'!O37</f>
        <v>Arsenal</v>
      </c>
      <c r="P36" s="11" t="str">
        <f>'1a FASE'!P37</f>
        <v>Arsenal</v>
      </c>
      <c r="Q36" s="11" t="str">
        <f>'1a FASE'!Q37</f>
        <v>Arsenal</v>
      </c>
      <c r="R36" s="11" t="str">
        <f>'1a FASE'!R37</f>
        <v>Arsenal</v>
      </c>
      <c r="S36" s="11" t="str">
        <f>'1a FASE'!S37</f>
        <v>Arsenal</v>
      </c>
      <c r="T36" s="11" t="str">
        <f>'1a FASE'!T37</f>
        <v>Arsenal</v>
      </c>
      <c r="U36" s="11" t="str">
        <f>'1a FASE'!U37</f>
        <v>Arsenal</v>
      </c>
      <c r="V36" s="11" t="str">
        <f>'1a FASE'!V37</f>
        <v>Arsenal</v>
      </c>
      <c r="W36" s="11" t="str">
        <f>'1a FASE'!W37</f>
        <v>Arsenal</v>
      </c>
      <c r="X36" s="11">
        <f>+IF(C36=$B36,Pesos!$L$3,0)*IF(COUNTIF($C36:$W36,C36)=1,2,1)</f>
        <v>0.85</v>
      </c>
      <c r="Y36" s="11">
        <f>+IF(D36=$B36,Pesos!$L$3,0)*IF(COUNTIF($C36:$W36,D36)=1,2,1)</f>
        <v>0.85</v>
      </c>
      <c r="Z36" s="11">
        <f>+IF(E36=$B36,Pesos!$L$3,0)*IF(COUNTIF($C36:$W36,E36)=1,2,1)</f>
        <v>0.85</v>
      </c>
      <c r="AA36" s="11">
        <f>+IF(F36=$B36,Pesos!$L$3,0)*IF(COUNTIF($C36:$W36,F36)=1,2,1)</f>
        <v>0.85</v>
      </c>
      <c r="AB36" s="11">
        <f>+IF(G36=$B36,Pesos!$L$3,0)*IF(COUNTIF($C36:$W36,G36)=1,2,1)</f>
        <v>0.85</v>
      </c>
      <c r="AC36" s="11">
        <f>+IF(H36=$B36,Pesos!$L$3,0)*IF(COUNTIF($C36:$W36,H36)=1,2,1)</f>
        <v>0.85</v>
      </c>
      <c r="AD36" s="11">
        <f>+IF(I36=$B36,Pesos!$L$3,0)*IF(COUNTIF($C36:$W36,I36)=1,2,1)</f>
        <v>0.85</v>
      </c>
      <c r="AE36" s="11">
        <f>+IF(J36=$B36,Pesos!$L$3,0)*IF(COUNTIF($C36:$W36,J36)=1,2,1)</f>
        <v>0.85</v>
      </c>
      <c r="AF36" s="11">
        <f>+IF(K36=$B36,Pesos!$L$3,0)*IF(COUNTIF($C36:$W36,K36)=1,2,1)</f>
        <v>0.85</v>
      </c>
      <c r="AG36" s="11">
        <f>+IF(L36=$B36,Pesos!$L$3,0)*IF(COUNTIF($C36:$W36,L36)=1,2,1)</f>
        <v>0.85</v>
      </c>
      <c r="AH36" s="11">
        <f>+IF(M36=$B36,Pesos!$L$3,0)*IF(COUNTIF($C36:$W36,M36)=1,2,1)</f>
        <v>0.85</v>
      </c>
      <c r="AI36" s="11">
        <f>+IF(N36=$B36,Pesos!$L$3,0)*IF(COUNTIF($C36:$W36,N36)=1,2,1)</f>
        <v>0.85</v>
      </c>
      <c r="AJ36" s="11">
        <f>+IF(O36=$B36,Pesos!$L$3,0)*IF(COUNTIF($C36:$W36,O36)=1,2,1)</f>
        <v>0.85</v>
      </c>
      <c r="AK36" s="11">
        <f>+IF(P36=$B36,Pesos!$L$3,0)*IF(COUNTIF($C36:$W36,P36)=1,2,1)</f>
        <v>0.85</v>
      </c>
      <c r="AL36" s="11">
        <f>+IF(Q36=$B36,Pesos!$L$3,0)*IF(COUNTIF($C36:$W36,Q36)=1,2,1)</f>
        <v>0.85</v>
      </c>
      <c r="AM36" s="11">
        <f>+IF(R36=$B36,Pesos!$L$3,0)*IF(COUNTIF($C36:$W36,R36)=1,2,1)</f>
        <v>0.85</v>
      </c>
      <c r="AN36" s="11">
        <f>+IF(S36=$B36,Pesos!$L$3,0)*IF(COUNTIF($C36:$W36,S36)=1,2,1)</f>
        <v>0.85</v>
      </c>
      <c r="AO36" s="11">
        <f>+IF(T36=$B36,Pesos!$L$3,0)*IF(COUNTIF($C36:$W36,T36)=1,2,1)</f>
        <v>0.85</v>
      </c>
      <c r="AP36" s="11">
        <f>+IF(U36=$B36,Pesos!$L$3,0)*IF(COUNTIF($C36:$W36,U36)=1,2,1)</f>
        <v>0.85</v>
      </c>
      <c r="AQ36" s="11">
        <f>+IF(V36=$B36,Pesos!$L$3,0)*IF(COUNTIF($C36:$W36,V36)=1,2,1)</f>
        <v>0.85</v>
      </c>
      <c r="AR36" s="11">
        <f>+IF(W36=$B36,Pesos!$L$3,0)*IF(COUNTIF($C36:$W36,W36)=1,2,1)</f>
        <v>0.85</v>
      </c>
    </row>
    <row r="37" ht="12.75" customHeight="1">
      <c r="A37" s="1" t="str">
        <f>'1a FASE'!A38</f>
        <v>Machtday 2</v>
      </c>
      <c r="B37" s="8" t="str">
        <f>'1a FASE'!B38</f>
        <v>Empate</v>
      </c>
      <c r="C37" s="10" t="str">
        <f>'1a FASE'!C38</f>
        <v>Bayer Leverkusen</v>
      </c>
      <c r="D37" s="10" t="str">
        <f>'1a FASE'!D38</f>
        <v>Bayer Leverkusen</v>
      </c>
      <c r="E37" s="10" t="str">
        <f>'1a FASE'!E38</f>
        <v>Bayer Leverkusen</v>
      </c>
      <c r="F37" s="10" t="str">
        <f>'1a FASE'!F38</f>
        <v>Bayer Leverkusen</v>
      </c>
      <c r="G37" s="10" t="str">
        <f>'1a FASE'!G38</f>
        <v>Bayer Leverkusen</v>
      </c>
      <c r="H37" s="10" t="str">
        <f>'1a FASE'!H38</f>
        <v>Bayer Leverkusen</v>
      </c>
      <c r="I37" s="10" t="str">
        <f>'1a FASE'!I38</f>
        <v>Bayer Leverkusen</v>
      </c>
      <c r="J37" s="10" t="str">
        <f>'1a FASE'!J38</f>
        <v>Bayer Leverkusen</v>
      </c>
      <c r="K37" s="10" t="str">
        <f>'1a FASE'!K38</f>
        <v>Empate</v>
      </c>
      <c r="L37" s="10" t="str">
        <f>'1a FASE'!L38</f>
        <v>Bayer Leverkusen</v>
      </c>
      <c r="M37" s="10" t="str">
        <f>'1a FASE'!M38</f>
        <v>Empate</v>
      </c>
      <c r="N37" s="10" t="str">
        <f>'1a FASE'!N38</f>
        <v>Empate</v>
      </c>
      <c r="O37" s="10" t="str">
        <f>'1a FASE'!O38</f>
        <v>Empate</v>
      </c>
      <c r="P37" s="10" t="str">
        <f>'1a FASE'!P38</f>
        <v>Bayer Leverkusen</v>
      </c>
      <c r="Q37" s="10" t="str">
        <f>'1a FASE'!Q38</f>
        <v>Empate</v>
      </c>
      <c r="R37" s="10" t="str">
        <f>'1a FASE'!R38</f>
        <v>Empate</v>
      </c>
      <c r="S37" s="10" t="str">
        <f>'1a FASE'!S38</f>
        <v>Bayer Leverkusen</v>
      </c>
      <c r="T37" s="10" t="str">
        <f>'1a FASE'!T38</f>
        <v>Bayer Leverkusen</v>
      </c>
      <c r="U37" s="10" t="str">
        <f>'1a FASE'!U38</f>
        <v>Bayer Leverkusen</v>
      </c>
      <c r="V37" s="10" t="str">
        <f>'1a FASE'!V38</f>
        <v>PSV Eindhoven</v>
      </c>
      <c r="W37" s="10" t="str">
        <f>'1a FASE'!W38</f>
        <v>Bayer Leverkusen</v>
      </c>
      <c r="X37" s="10">
        <f>+IF(C37=$B37,Pesos!$L$3,0)*IF(COUNTIF($C37:$W37,C37)=1,2,1)</f>
        <v>0</v>
      </c>
      <c r="Y37" s="10">
        <f>+IF(D37=$B37,Pesos!$L$3,0)*IF(COUNTIF($C37:$W37,D37)=1,2,1)</f>
        <v>0</v>
      </c>
      <c r="Z37" s="10">
        <f>+IF(E37=$B37,Pesos!$L$3,0)*IF(COUNTIF($C37:$W37,E37)=1,2,1)</f>
        <v>0</v>
      </c>
      <c r="AA37" s="10">
        <f>+IF(F37=$B37,Pesos!$L$3,0)*IF(COUNTIF($C37:$W37,F37)=1,2,1)</f>
        <v>0</v>
      </c>
      <c r="AB37" s="10">
        <f>+IF(G37=$B37,Pesos!$L$3,0)*IF(COUNTIF($C37:$W37,G37)=1,2,1)</f>
        <v>0</v>
      </c>
      <c r="AC37" s="10">
        <f>+IF(H37=$B37,Pesos!$L$3,0)*IF(COUNTIF($C37:$W37,H37)=1,2,1)</f>
        <v>0</v>
      </c>
      <c r="AD37" s="10">
        <f>+IF(I37=$B37,Pesos!$L$3,0)*IF(COUNTIF($C37:$W37,I37)=1,2,1)</f>
        <v>0</v>
      </c>
      <c r="AE37" s="10">
        <f>+IF(J37=$B37,Pesos!$L$3,0)*IF(COUNTIF($C37:$W37,J37)=1,2,1)</f>
        <v>0</v>
      </c>
      <c r="AF37" s="10">
        <f>+IF(K37=$B37,Pesos!$L$3,0)*IF(COUNTIF($C37:$W37,K37)=1,2,1)</f>
        <v>0.85</v>
      </c>
      <c r="AG37" s="10">
        <f>+IF(L37=$B37,Pesos!$L$3,0)*IF(COUNTIF($C37:$W37,L37)=1,2,1)</f>
        <v>0</v>
      </c>
      <c r="AH37" s="10">
        <f>+IF(M37=$B37,Pesos!$L$3,0)*IF(COUNTIF($C37:$W37,M37)=1,2,1)</f>
        <v>0.85</v>
      </c>
      <c r="AI37" s="10">
        <f>+IF(N37=$B37,Pesos!$L$3,0)*IF(COUNTIF($C37:$W37,N37)=1,2,1)</f>
        <v>0.85</v>
      </c>
      <c r="AJ37" s="10">
        <f>+IF(O37=$B37,Pesos!$L$3,0)*IF(COUNTIF($C37:$W37,O37)=1,2,1)</f>
        <v>0.85</v>
      </c>
      <c r="AK37" s="10">
        <f>+IF(P37=$B37,Pesos!$L$3,0)*IF(COUNTIF($C37:$W37,P37)=1,2,1)</f>
        <v>0</v>
      </c>
      <c r="AL37" s="10">
        <f>+IF(Q37=$B37,Pesos!$L$3,0)*IF(COUNTIF($C37:$W37,Q37)=1,2,1)</f>
        <v>0.85</v>
      </c>
      <c r="AM37" s="10">
        <f>+IF(R37=$B37,Pesos!$L$3,0)*IF(COUNTIF($C37:$W37,R37)=1,2,1)</f>
        <v>0.85</v>
      </c>
      <c r="AN37" s="10">
        <f>+IF(S37=$B37,Pesos!$L$3,0)*IF(COUNTIF($C37:$W37,S37)=1,2,1)</f>
        <v>0</v>
      </c>
      <c r="AO37" s="10">
        <f>+IF(T37=$B37,Pesos!$L$3,0)*IF(COUNTIF($C37:$W37,T37)=1,2,1)</f>
        <v>0</v>
      </c>
      <c r="AP37" s="10">
        <f>+IF(U37=$B37,Pesos!$L$3,0)*IF(COUNTIF($C37:$W37,U37)=1,2,1)</f>
        <v>0</v>
      </c>
      <c r="AQ37" s="10">
        <f>+IF(V37=$B37,Pesos!$L$3,0)*IF(COUNTIF($C37:$W37,V37)=1,2,1)</f>
        <v>0</v>
      </c>
      <c r="AR37" s="10">
        <f>+IF(W37=$B37,Pesos!$L$3,0)*IF(COUNTIF($C37:$W37,W37)=1,2,1)</f>
        <v>0</v>
      </c>
    </row>
    <row r="38" ht="12.75" customHeight="1">
      <c r="A38" s="1" t="str">
        <f>'1a FASE'!A39</f>
        <v>Machtday 2</v>
      </c>
      <c r="B38" s="8" t="str">
        <f>'1a FASE'!B39</f>
        <v>Empate</v>
      </c>
      <c r="C38" s="11" t="str">
        <f>'1a FASE'!C39</f>
        <v>Juventus</v>
      </c>
      <c r="D38" s="11" t="str">
        <f>'1a FASE'!D39</f>
        <v>Empate</v>
      </c>
      <c r="E38" s="11" t="str">
        <f>'1a FASE'!E39</f>
        <v>Juventus</v>
      </c>
      <c r="F38" s="11" t="str">
        <f>'1a FASE'!F39</f>
        <v>Juventus</v>
      </c>
      <c r="G38" s="11" t="str">
        <f>'1a FASE'!G39</f>
        <v>Villarreal</v>
      </c>
      <c r="H38" s="11" t="str">
        <f>'1a FASE'!H39</f>
        <v>Villarreal</v>
      </c>
      <c r="I38" s="11" t="str">
        <f>'1a FASE'!I39</f>
        <v>Juventus</v>
      </c>
      <c r="J38" s="11" t="str">
        <f>'1a FASE'!J39</f>
        <v>Juventus</v>
      </c>
      <c r="K38" s="11" t="str">
        <f>'1a FASE'!K39</f>
        <v>Villarreal</v>
      </c>
      <c r="L38" s="11" t="str">
        <f>'1a FASE'!L39</f>
        <v>Empate</v>
      </c>
      <c r="M38" s="11" t="str">
        <f>'1a FASE'!M39</f>
        <v>Empate</v>
      </c>
      <c r="N38" s="11" t="str">
        <f>'1a FASE'!N39</f>
        <v>Juventus</v>
      </c>
      <c r="O38" s="11" t="str">
        <f>'1a FASE'!O39</f>
        <v>Juventus</v>
      </c>
      <c r="P38" s="11" t="str">
        <f>'1a FASE'!P39</f>
        <v>Villarreal</v>
      </c>
      <c r="Q38" s="11" t="str">
        <f>'1a FASE'!Q39</f>
        <v>Villarreal</v>
      </c>
      <c r="R38" s="11" t="str">
        <f>'1a FASE'!R39</f>
        <v>Villarreal</v>
      </c>
      <c r="S38" s="11" t="str">
        <f>'1a FASE'!S39</f>
        <v>Juventus</v>
      </c>
      <c r="T38" s="11" t="str">
        <f>'1a FASE'!T39</f>
        <v>Villarreal</v>
      </c>
      <c r="U38" s="11" t="str">
        <f>'1a FASE'!U39</f>
        <v>Juventus</v>
      </c>
      <c r="V38" s="11" t="str">
        <f>'1a FASE'!V39</f>
        <v>Juventus</v>
      </c>
      <c r="W38" s="11" t="str">
        <f>'1a FASE'!W39</f>
        <v>Juventus</v>
      </c>
      <c r="X38" s="11">
        <f>+IF(C38=$B38,Pesos!$L$3,0)*IF(COUNTIF($C38:$W38,C38)=1,2,1)</f>
        <v>0</v>
      </c>
      <c r="Y38" s="11">
        <f>+IF(D38=$B38,Pesos!$L$3,0)*IF(COUNTIF($C38:$W38,D38)=1,2,1)</f>
        <v>0.85</v>
      </c>
      <c r="Z38" s="11">
        <f>+IF(E38=$B38,Pesos!$L$3,0)*IF(COUNTIF($C38:$W38,E38)=1,2,1)</f>
        <v>0</v>
      </c>
      <c r="AA38" s="11">
        <f>+IF(F38=$B38,Pesos!$L$3,0)*IF(COUNTIF($C38:$W38,F38)=1,2,1)</f>
        <v>0</v>
      </c>
      <c r="AB38" s="11">
        <f>+IF(G38=$B38,Pesos!$L$3,0)*IF(COUNTIF($C38:$W38,G38)=1,2,1)</f>
        <v>0</v>
      </c>
      <c r="AC38" s="11">
        <f>+IF(H38=$B38,Pesos!$L$3,0)*IF(COUNTIF($C38:$W38,H38)=1,2,1)</f>
        <v>0</v>
      </c>
      <c r="AD38" s="11">
        <f>+IF(I38=$B38,Pesos!$L$3,0)*IF(COUNTIF($C38:$W38,I38)=1,2,1)</f>
        <v>0</v>
      </c>
      <c r="AE38" s="11">
        <f>+IF(J38=$B38,Pesos!$L$3,0)*IF(COUNTIF($C38:$W38,J38)=1,2,1)</f>
        <v>0</v>
      </c>
      <c r="AF38" s="11">
        <f>+IF(K38=$B38,Pesos!$L$3,0)*IF(COUNTIF($C38:$W38,K38)=1,2,1)</f>
        <v>0</v>
      </c>
      <c r="AG38" s="11">
        <f>+IF(L38=$B38,Pesos!$L$3,0)*IF(COUNTIF($C38:$W38,L38)=1,2,1)</f>
        <v>0.85</v>
      </c>
      <c r="AH38" s="11">
        <f>+IF(M38=$B38,Pesos!$L$3,0)*IF(COUNTIF($C38:$W38,M38)=1,2,1)</f>
        <v>0.85</v>
      </c>
      <c r="AI38" s="11">
        <f>+IF(N38=$B38,Pesos!$L$3,0)*IF(COUNTIF($C38:$W38,N38)=1,2,1)</f>
        <v>0</v>
      </c>
      <c r="AJ38" s="11">
        <f>+IF(O38=$B38,Pesos!$L$3,0)*IF(COUNTIF($C38:$W38,O38)=1,2,1)</f>
        <v>0</v>
      </c>
      <c r="AK38" s="11">
        <f>+IF(P38=$B38,Pesos!$L$3,0)*IF(COUNTIF($C38:$W38,P38)=1,2,1)</f>
        <v>0</v>
      </c>
      <c r="AL38" s="11">
        <f>+IF(Q38=$B38,Pesos!$L$3,0)*IF(COUNTIF($C38:$W38,Q38)=1,2,1)</f>
        <v>0</v>
      </c>
      <c r="AM38" s="11">
        <f>+IF(R38=$B38,Pesos!$L$3,0)*IF(COUNTIF($C38:$W38,R38)=1,2,1)</f>
        <v>0</v>
      </c>
      <c r="AN38" s="11">
        <f>+IF(S38=$B38,Pesos!$L$3,0)*IF(COUNTIF($C38:$W38,S38)=1,2,1)</f>
        <v>0</v>
      </c>
      <c r="AO38" s="11">
        <f>+IF(T38=$B38,Pesos!$L$3,0)*IF(COUNTIF($C38:$W38,T38)=1,2,1)</f>
        <v>0</v>
      </c>
      <c r="AP38" s="11">
        <f>+IF(U38=$B38,Pesos!$L$3,0)*IF(COUNTIF($C38:$W38,U38)=1,2,1)</f>
        <v>0</v>
      </c>
      <c r="AQ38" s="11">
        <f>+IF(V38=$B38,Pesos!$L$3,0)*IF(COUNTIF($C38:$W38,V38)=1,2,1)</f>
        <v>0</v>
      </c>
      <c r="AR38" s="11">
        <f>+IF(W38=$B38,Pesos!$L$3,0)*IF(COUNTIF($C38:$W38,W38)=1,2,1)</f>
        <v>0</v>
      </c>
    </row>
    <row r="39" ht="12.75" customHeight="1">
      <c r="A39" s="1" t="str">
        <f>'1a FASE'!A40</f>
        <v>Machtday 2</v>
      </c>
      <c r="B39" s="8" t="str">
        <f>'1a FASE'!B40</f>
        <v>Napoli</v>
      </c>
      <c r="C39" s="10" t="str">
        <f>'1a FASE'!C40</f>
        <v>Napoli</v>
      </c>
      <c r="D39" s="10" t="str">
        <f>'1a FASE'!D40</f>
        <v>Napoli</v>
      </c>
      <c r="E39" s="10" t="str">
        <f>'1a FASE'!E40</f>
        <v>Napoli</v>
      </c>
      <c r="F39" s="10" t="str">
        <f>'1a FASE'!F40</f>
        <v>Sporting</v>
      </c>
      <c r="G39" s="10" t="str">
        <f>'1a FASE'!G40</f>
        <v>Napoli</v>
      </c>
      <c r="H39" s="10" t="str">
        <f>'1a FASE'!H40</f>
        <v>Napoli</v>
      </c>
      <c r="I39" s="10" t="str">
        <f>'1a FASE'!I40</f>
        <v>Napoli</v>
      </c>
      <c r="J39" s="10" t="str">
        <f>'1a FASE'!J40</f>
        <v>Napoli</v>
      </c>
      <c r="K39" s="10" t="str">
        <f>'1a FASE'!K40</f>
        <v>Napoli</v>
      </c>
      <c r="L39" s="10" t="str">
        <f>'1a FASE'!L40</f>
        <v>Napoli</v>
      </c>
      <c r="M39" s="10" t="str">
        <f>'1a FASE'!M40</f>
        <v>Empate</v>
      </c>
      <c r="N39" s="10" t="str">
        <f>'1a FASE'!N40</f>
        <v>Napoli</v>
      </c>
      <c r="O39" s="10" t="str">
        <f>'1a FASE'!O40</f>
        <v>Napoli</v>
      </c>
      <c r="P39" s="10" t="str">
        <f>'1a FASE'!P40</f>
        <v>Napoli</v>
      </c>
      <c r="Q39" s="10" t="str">
        <f>'1a FASE'!Q40</f>
        <v>Napoli</v>
      </c>
      <c r="R39" s="10" t="str">
        <f>'1a FASE'!R40</f>
        <v>Napoli</v>
      </c>
      <c r="S39" s="10" t="str">
        <f>'1a FASE'!S40</f>
        <v>Napoli</v>
      </c>
      <c r="T39" s="10" t="str">
        <f>'1a FASE'!T40</f>
        <v>Napoli</v>
      </c>
      <c r="U39" s="10" t="str">
        <f>'1a FASE'!U40</f>
        <v>Napoli</v>
      </c>
      <c r="V39" s="10" t="str">
        <f>'1a FASE'!V40</f>
        <v>Napoli</v>
      </c>
      <c r="W39" s="10" t="str">
        <f>'1a FASE'!W40</f>
        <v>Napoli</v>
      </c>
      <c r="X39" s="10">
        <f>+IF(C39=$B39,Pesos!$L$3,0)*IF(COUNTIF($C39:$W39,C39)=1,2,1)</f>
        <v>0.85</v>
      </c>
      <c r="Y39" s="10">
        <f>+IF(D39=$B39,Pesos!$L$3,0)*IF(COUNTIF($C39:$W39,D39)=1,2,1)</f>
        <v>0.85</v>
      </c>
      <c r="Z39" s="10">
        <f>+IF(E39=$B39,Pesos!$L$3,0)*IF(COUNTIF($C39:$W39,E39)=1,2,1)</f>
        <v>0.85</v>
      </c>
      <c r="AA39" s="10">
        <f>+IF(F39=$B39,Pesos!$L$3,0)*IF(COUNTIF($C39:$W39,F39)=1,2,1)</f>
        <v>0</v>
      </c>
      <c r="AB39" s="10">
        <f>+IF(G39=$B39,Pesos!$L$3,0)*IF(COUNTIF($C39:$W39,G39)=1,2,1)</f>
        <v>0.85</v>
      </c>
      <c r="AC39" s="10">
        <f>+IF(H39=$B39,Pesos!$L$3,0)*IF(COUNTIF($C39:$W39,H39)=1,2,1)</f>
        <v>0.85</v>
      </c>
      <c r="AD39" s="10">
        <f>+IF(I39=$B39,Pesos!$L$3,0)*IF(COUNTIF($C39:$W39,I39)=1,2,1)</f>
        <v>0.85</v>
      </c>
      <c r="AE39" s="10">
        <f>+IF(J39=$B39,Pesos!$L$3,0)*IF(COUNTIF($C39:$W39,J39)=1,2,1)</f>
        <v>0.85</v>
      </c>
      <c r="AF39" s="10">
        <f>+IF(K39=$B39,Pesos!$L$3,0)*IF(COUNTIF($C39:$W39,K39)=1,2,1)</f>
        <v>0.85</v>
      </c>
      <c r="AG39" s="10">
        <f>+IF(L39=$B39,Pesos!$L$3,0)*IF(COUNTIF($C39:$W39,L39)=1,2,1)</f>
        <v>0.85</v>
      </c>
      <c r="AH39" s="10">
        <f>+IF(M39=$B39,Pesos!$L$3,0)*IF(COUNTIF($C39:$W39,M39)=1,2,1)</f>
        <v>0</v>
      </c>
      <c r="AI39" s="10">
        <f>+IF(N39=$B39,Pesos!$L$3,0)*IF(COUNTIF($C39:$W39,N39)=1,2,1)</f>
        <v>0.85</v>
      </c>
      <c r="AJ39" s="10">
        <f>+IF(O39=$B39,Pesos!$L$3,0)*IF(COUNTIF($C39:$W39,O39)=1,2,1)</f>
        <v>0.85</v>
      </c>
      <c r="AK39" s="10">
        <f>+IF(P39=$B39,Pesos!$L$3,0)*IF(COUNTIF($C39:$W39,P39)=1,2,1)</f>
        <v>0.85</v>
      </c>
      <c r="AL39" s="10">
        <f>+IF(Q39=$B39,Pesos!$L$3,0)*IF(COUNTIF($C39:$W39,Q39)=1,2,1)</f>
        <v>0.85</v>
      </c>
      <c r="AM39" s="10">
        <f>+IF(R39=$B39,Pesos!$L$3,0)*IF(COUNTIF($C39:$W39,R39)=1,2,1)</f>
        <v>0.85</v>
      </c>
      <c r="AN39" s="10">
        <f>+IF(S39=$B39,Pesos!$L$3,0)*IF(COUNTIF($C39:$W39,S39)=1,2,1)</f>
        <v>0.85</v>
      </c>
      <c r="AO39" s="10">
        <f>+IF(T39=$B39,Pesos!$L$3,0)*IF(COUNTIF($C39:$W39,T39)=1,2,1)</f>
        <v>0.85</v>
      </c>
      <c r="AP39" s="10">
        <f>+IF(U39=$B39,Pesos!$L$3,0)*IF(COUNTIF($C39:$W39,U39)=1,2,1)</f>
        <v>0.85</v>
      </c>
      <c r="AQ39" s="10">
        <f>+IF(V39=$B39,Pesos!$L$3,0)*IF(COUNTIF($C39:$W39,V39)=1,2,1)</f>
        <v>0.85</v>
      </c>
      <c r="AR39" s="10">
        <f>+IF(W39=$B39,Pesos!$L$3,0)*IF(COUNTIF($C39:$W39,W39)=1,2,1)</f>
        <v>0.85</v>
      </c>
    </row>
    <row r="40" ht="12.75" customHeight="1">
      <c r="A40" s="1" t="str">
        <f>'1a FASE'!A41</f>
        <v>Machtday 2</v>
      </c>
      <c r="B40" s="8" t="str">
        <f>'1a FASE'!B41</f>
        <v>Empate</v>
      </c>
      <c r="C40" s="11" t="str">
        <f>'1a FASE'!C41</f>
        <v>Manchester City</v>
      </c>
      <c r="D40" s="11" t="str">
        <f>'1a FASE'!D41</f>
        <v>Manchester City</v>
      </c>
      <c r="E40" s="11" t="str">
        <f>'1a FASE'!E41</f>
        <v>Manchester City</v>
      </c>
      <c r="F40" s="11" t="str">
        <f>'1a FASE'!F41</f>
        <v>Manchester City</v>
      </c>
      <c r="G40" s="11" t="str">
        <f>'1a FASE'!G41</f>
        <v>Manchester City</v>
      </c>
      <c r="H40" s="11" t="str">
        <f>'1a FASE'!H41</f>
        <v>Manchester City</v>
      </c>
      <c r="I40" s="11" t="str">
        <f>'1a FASE'!I41</f>
        <v>Manchester City</v>
      </c>
      <c r="J40" s="11" t="str">
        <f>'1a FASE'!J41</f>
        <v>Manchester City</v>
      </c>
      <c r="K40" s="11" t="str">
        <f>'1a FASE'!K41</f>
        <v>Manchester City</v>
      </c>
      <c r="L40" s="11" t="str">
        <f>'1a FASE'!L41</f>
        <v>Manchester City</v>
      </c>
      <c r="M40" s="11" t="str">
        <f>'1a FASE'!M41</f>
        <v>Manchester City</v>
      </c>
      <c r="N40" s="11" t="str">
        <f>'1a FASE'!N41</f>
        <v>Manchester City</v>
      </c>
      <c r="O40" s="11" t="str">
        <f>'1a FASE'!O41</f>
        <v>Manchester City</v>
      </c>
      <c r="P40" s="11" t="str">
        <f>'1a FASE'!P41</f>
        <v>Manchester City</v>
      </c>
      <c r="Q40" s="11" t="str">
        <f>'1a FASE'!Q41</f>
        <v>Manchester City</v>
      </c>
      <c r="R40" s="11" t="str">
        <f>'1a FASE'!R41</f>
        <v>Empate</v>
      </c>
      <c r="S40" s="11" t="str">
        <f>'1a FASE'!S41</f>
        <v>Manchester City</v>
      </c>
      <c r="T40" s="11" t="str">
        <f>'1a FASE'!T41</f>
        <v>Monaco</v>
      </c>
      <c r="U40" s="11" t="str">
        <f>'1a FASE'!U41</f>
        <v>Empate</v>
      </c>
      <c r="V40" s="11" t="str">
        <f>'1a FASE'!V41</f>
        <v>Manchester City</v>
      </c>
      <c r="W40" s="11" t="str">
        <f>'1a FASE'!W41</f>
        <v>Manchester City</v>
      </c>
      <c r="X40" s="11">
        <f>+IF(C40=$B40,Pesos!$L$3,0)*IF(COUNTIF($C40:$W40,C40)=1,2,1)</f>
        <v>0</v>
      </c>
      <c r="Y40" s="11">
        <f>+IF(D40=$B40,Pesos!$L$3,0)*IF(COUNTIF($C40:$W40,D40)=1,2,1)</f>
        <v>0</v>
      </c>
      <c r="Z40" s="11">
        <f>+IF(E40=$B40,Pesos!$L$3,0)*IF(COUNTIF($C40:$W40,E40)=1,2,1)</f>
        <v>0</v>
      </c>
      <c r="AA40" s="11">
        <f>+IF(F40=$B40,Pesos!$L$3,0)*IF(COUNTIF($C40:$W40,F40)=1,2,1)</f>
        <v>0</v>
      </c>
      <c r="AB40" s="11">
        <f>+IF(G40=$B40,Pesos!$L$3,0)*IF(COUNTIF($C40:$W40,G40)=1,2,1)</f>
        <v>0</v>
      </c>
      <c r="AC40" s="11">
        <f>+IF(H40=$B40,Pesos!$L$3,0)*IF(COUNTIF($C40:$W40,H40)=1,2,1)</f>
        <v>0</v>
      </c>
      <c r="AD40" s="11">
        <f>+IF(I40=$B40,Pesos!$L$3,0)*IF(COUNTIF($C40:$W40,I40)=1,2,1)</f>
        <v>0</v>
      </c>
      <c r="AE40" s="11">
        <f>+IF(J40=$B40,Pesos!$L$3,0)*IF(COUNTIF($C40:$W40,J40)=1,2,1)</f>
        <v>0</v>
      </c>
      <c r="AF40" s="11">
        <f>+IF(K40=$B40,Pesos!$L$3,0)*IF(COUNTIF($C40:$W40,K40)=1,2,1)</f>
        <v>0</v>
      </c>
      <c r="AG40" s="11">
        <f>+IF(L40=$B40,Pesos!$L$3,0)*IF(COUNTIF($C40:$W40,L40)=1,2,1)</f>
        <v>0</v>
      </c>
      <c r="AH40" s="11">
        <f>+IF(M40=$B40,Pesos!$L$3,0)*IF(COUNTIF($C40:$W40,M40)=1,2,1)</f>
        <v>0</v>
      </c>
      <c r="AI40" s="11">
        <f>+IF(N40=$B40,Pesos!$L$3,0)*IF(COUNTIF($C40:$W40,N40)=1,2,1)</f>
        <v>0</v>
      </c>
      <c r="AJ40" s="11">
        <f>+IF(O40=$B40,Pesos!$L$3,0)*IF(COUNTIF($C40:$W40,O40)=1,2,1)</f>
        <v>0</v>
      </c>
      <c r="AK40" s="11">
        <f>+IF(P40=$B40,Pesos!$L$3,0)*IF(COUNTIF($C40:$W40,P40)=1,2,1)</f>
        <v>0</v>
      </c>
      <c r="AL40" s="11">
        <f>+IF(Q40=$B40,Pesos!$L$3,0)*IF(COUNTIF($C40:$W40,Q40)=1,2,1)</f>
        <v>0</v>
      </c>
      <c r="AM40" s="11">
        <f>+IF(R40=$B40,Pesos!$L$3,0)*IF(COUNTIF($C40:$W40,R40)=1,2,1)</f>
        <v>0.85</v>
      </c>
      <c r="AN40" s="11">
        <f>+IF(S40=$B40,Pesos!$L$3,0)*IF(COUNTIF($C40:$W40,S40)=1,2,1)</f>
        <v>0</v>
      </c>
      <c r="AO40" s="11">
        <f>+IF(T40=$B40,Pesos!$L$3,0)*IF(COUNTIF($C40:$W40,T40)=1,2,1)</f>
        <v>0</v>
      </c>
      <c r="AP40" s="11">
        <f>+IF(U40=$B40,Pesos!$L$3,0)*IF(COUNTIF($C40:$W40,U40)=1,2,1)</f>
        <v>0.85</v>
      </c>
      <c r="AQ40" s="11">
        <f>+IF(V40=$B40,Pesos!$L$3,0)*IF(COUNTIF($C40:$W40,V40)=1,2,1)</f>
        <v>0</v>
      </c>
      <c r="AR40" s="11">
        <f>+IF(W40=$B40,Pesos!$L$3,0)*IF(COUNTIF($C40:$W40,W40)=1,2,1)</f>
        <v>0</v>
      </c>
    </row>
    <row r="41" ht="12.75" customHeight="1">
      <c r="A41" s="1" t="str">
        <f>'1a FASE'!A42</f>
        <v>Machtday 2</v>
      </c>
      <c r="B41" s="8" t="str">
        <f>'1a FASE'!B42</f>
        <v>Borussia Dortmund</v>
      </c>
      <c r="C41" s="10" t="str">
        <f>'1a FASE'!C42</f>
        <v>Borussia Dortmund</v>
      </c>
      <c r="D41" s="10" t="str">
        <f>'1a FASE'!D42</f>
        <v>Borussia Dortmund</v>
      </c>
      <c r="E41" s="10" t="str">
        <f>'1a FASE'!E42</f>
        <v>Borussia Dortmund</v>
      </c>
      <c r="F41" s="10" t="str">
        <f>'1a FASE'!F42</f>
        <v>Borussia Dortmund</v>
      </c>
      <c r="G41" s="10" t="str">
        <f>'1a FASE'!G42</f>
        <v>Borussia Dortmund</v>
      </c>
      <c r="H41" s="10" t="str">
        <f>'1a FASE'!H42</f>
        <v>Borussia Dortmund</v>
      </c>
      <c r="I41" s="10" t="str">
        <f>'1a FASE'!I42</f>
        <v>Borussia Dortmund</v>
      </c>
      <c r="J41" s="10" t="str">
        <f>'1a FASE'!J42</f>
        <v>Borussia Dortmund</v>
      </c>
      <c r="K41" s="10" t="str">
        <f>'1a FASE'!K42</f>
        <v>Borussia Dortmund</v>
      </c>
      <c r="L41" s="10" t="str">
        <f>'1a FASE'!L42</f>
        <v>Borussia Dortmund</v>
      </c>
      <c r="M41" s="10" t="str">
        <f>'1a FASE'!M42</f>
        <v>Empate</v>
      </c>
      <c r="N41" s="10" t="str">
        <f>'1a FASE'!N42</f>
        <v>Borussia Dortmund</v>
      </c>
      <c r="O41" s="10" t="str">
        <f>'1a FASE'!O42</f>
        <v>Borussia Dortmund</v>
      </c>
      <c r="P41" s="10" t="str">
        <f>'1a FASE'!P42</f>
        <v>Borussia Dortmund</v>
      </c>
      <c r="Q41" s="10" t="str">
        <f>'1a FASE'!Q42</f>
        <v>Empate</v>
      </c>
      <c r="R41" s="10" t="str">
        <f>'1a FASE'!R42</f>
        <v>Borussia Dortmund</v>
      </c>
      <c r="S41" s="10" t="str">
        <f>'1a FASE'!S42</f>
        <v>Borussia Dortmund</v>
      </c>
      <c r="T41" s="10" t="str">
        <f>'1a FASE'!T42</f>
        <v>Borussia Dortmund</v>
      </c>
      <c r="U41" s="10" t="str">
        <f>'1a FASE'!U42</f>
        <v>Borussia Dortmund</v>
      </c>
      <c r="V41" s="10" t="str">
        <f>'1a FASE'!V42</f>
        <v>Borussia Dortmund</v>
      </c>
      <c r="W41" s="10" t="str">
        <f>'1a FASE'!W42</f>
        <v>Borussia Dortmund</v>
      </c>
      <c r="X41" s="10">
        <f>+IF(C41=$B41,Pesos!$L$3,0)*IF(COUNTIF($C41:$W41,C41)=1,2,1)</f>
        <v>0.85</v>
      </c>
      <c r="Y41" s="10">
        <f>+IF(D41=$B41,Pesos!$L$3,0)*IF(COUNTIF($C41:$W41,D41)=1,2,1)</f>
        <v>0.85</v>
      </c>
      <c r="Z41" s="10">
        <f>+IF(E41=$B41,Pesos!$L$3,0)*IF(COUNTIF($C41:$W41,E41)=1,2,1)</f>
        <v>0.85</v>
      </c>
      <c r="AA41" s="10">
        <f>+IF(F41=$B41,Pesos!$L$3,0)*IF(COUNTIF($C41:$W41,F41)=1,2,1)</f>
        <v>0.85</v>
      </c>
      <c r="AB41" s="10">
        <f>+IF(G41=$B41,Pesos!$L$3,0)*IF(COUNTIF($C41:$W41,G41)=1,2,1)</f>
        <v>0.85</v>
      </c>
      <c r="AC41" s="10">
        <f>+IF(H41=$B41,Pesos!$L$3,0)*IF(COUNTIF($C41:$W41,H41)=1,2,1)</f>
        <v>0.85</v>
      </c>
      <c r="AD41" s="10">
        <f>+IF(I41=$B41,Pesos!$L$3,0)*IF(COUNTIF($C41:$W41,I41)=1,2,1)</f>
        <v>0.85</v>
      </c>
      <c r="AE41" s="10">
        <f>+IF(J41=$B41,Pesos!$L$3,0)*IF(COUNTIF($C41:$W41,J41)=1,2,1)</f>
        <v>0.85</v>
      </c>
      <c r="AF41" s="10">
        <f>+IF(K41=$B41,Pesos!$L$3,0)*IF(COUNTIF($C41:$W41,K41)=1,2,1)</f>
        <v>0.85</v>
      </c>
      <c r="AG41" s="10">
        <f>+IF(L41=$B41,Pesos!$L$3,0)*IF(COUNTIF($C41:$W41,L41)=1,2,1)</f>
        <v>0.85</v>
      </c>
      <c r="AH41" s="10">
        <f>+IF(M41=$B41,Pesos!$L$3,0)*IF(COUNTIF($C41:$W41,M41)=1,2,1)</f>
        <v>0</v>
      </c>
      <c r="AI41" s="10">
        <f>+IF(N41=$B41,Pesos!$L$3,0)*IF(COUNTIF($C41:$W41,N41)=1,2,1)</f>
        <v>0.85</v>
      </c>
      <c r="AJ41" s="10">
        <f>+IF(O41=$B41,Pesos!$L$3,0)*IF(COUNTIF($C41:$W41,O41)=1,2,1)</f>
        <v>0.85</v>
      </c>
      <c r="AK41" s="10">
        <f>+IF(P41=$B41,Pesos!$L$3,0)*IF(COUNTIF($C41:$W41,P41)=1,2,1)</f>
        <v>0.85</v>
      </c>
      <c r="AL41" s="10">
        <f>+IF(Q41=$B41,Pesos!$L$3,0)*IF(COUNTIF($C41:$W41,Q41)=1,2,1)</f>
        <v>0</v>
      </c>
      <c r="AM41" s="10">
        <f>+IF(R41=$B41,Pesos!$L$3,0)*IF(COUNTIF($C41:$W41,R41)=1,2,1)</f>
        <v>0.85</v>
      </c>
      <c r="AN41" s="10">
        <f>+IF(S41=$B41,Pesos!$L$3,0)*IF(COUNTIF($C41:$W41,S41)=1,2,1)</f>
        <v>0.85</v>
      </c>
      <c r="AO41" s="10">
        <f>+IF(T41=$B41,Pesos!$L$3,0)*IF(COUNTIF($C41:$W41,T41)=1,2,1)</f>
        <v>0.85</v>
      </c>
      <c r="AP41" s="10">
        <f>+IF(U41=$B41,Pesos!$L$3,0)*IF(COUNTIF($C41:$W41,U41)=1,2,1)</f>
        <v>0.85</v>
      </c>
      <c r="AQ41" s="10">
        <f>+IF(V41=$B41,Pesos!$L$3,0)*IF(COUNTIF($C41:$W41,V41)=1,2,1)</f>
        <v>0.85</v>
      </c>
      <c r="AR41" s="10">
        <f>+IF(W41=$B41,Pesos!$L$3,0)*IF(COUNTIF($C41:$W41,W41)=1,2,1)</f>
        <v>0.85</v>
      </c>
    </row>
    <row r="42" ht="12.75" customHeight="1">
      <c r="A42" s="1" t="str">
        <f>'1a FASE'!A43</f>
        <v>Machtday 2</v>
      </c>
      <c r="B42" s="8" t="str">
        <f>'1a FASE'!B43</f>
        <v>Paris Saint-Germain</v>
      </c>
      <c r="C42" s="11" t="str">
        <f>'1a FASE'!C43</f>
        <v>Barcelona</v>
      </c>
      <c r="D42" s="11" t="str">
        <f>'1a FASE'!D43</f>
        <v>Barcelona</v>
      </c>
      <c r="E42" s="11" t="str">
        <f>'1a FASE'!E43</f>
        <v>Barcelona</v>
      </c>
      <c r="F42" s="11" t="str">
        <f>'1a FASE'!F43</f>
        <v>Barcelona</v>
      </c>
      <c r="G42" s="11" t="str">
        <f>'1a FASE'!G43</f>
        <v>Barcelona</v>
      </c>
      <c r="H42" s="11" t="str">
        <f>'1a FASE'!H43</f>
        <v>Barcelona</v>
      </c>
      <c r="I42" s="11" t="str">
        <f>'1a FASE'!I43</f>
        <v>Barcelona</v>
      </c>
      <c r="J42" s="11" t="str">
        <f>'1a FASE'!J43</f>
        <v>Barcelona</v>
      </c>
      <c r="K42" s="11" t="str">
        <f>'1a FASE'!K43</f>
        <v>Barcelona</v>
      </c>
      <c r="L42" s="11" t="str">
        <f>'1a FASE'!L43</f>
        <v>Barcelona</v>
      </c>
      <c r="M42" s="11" t="str">
        <f>'1a FASE'!M43</f>
        <v>Barcelona</v>
      </c>
      <c r="N42" s="11" t="str">
        <f>'1a FASE'!N43</f>
        <v>Barcelona</v>
      </c>
      <c r="O42" s="11" t="str">
        <f>'1a FASE'!O43</f>
        <v>Empate</v>
      </c>
      <c r="P42" s="11" t="str">
        <f>'1a FASE'!P43</f>
        <v>Barcelona</v>
      </c>
      <c r="Q42" s="11" t="str">
        <f>'1a FASE'!Q43</f>
        <v>Barcelona</v>
      </c>
      <c r="R42" s="11" t="str">
        <f>'1a FASE'!R43</f>
        <v>Barcelona</v>
      </c>
      <c r="S42" s="11" t="str">
        <f>'1a FASE'!S43</f>
        <v>Barcelona</v>
      </c>
      <c r="T42" s="11" t="str">
        <f>'1a FASE'!T43</f>
        <v>Barcelona</v>
      </c>
      <c r="U42" s="11" t="str">
        <f>'1a FASE'!U43</f>
        <v>Barcelona</v>
      </c>
      <c r="V42" s="11" t="str">
        <f>'1a FASE'!V43</f>
        <v>Barcelona</v>
      </c>
      <c r="W42" s="11" t="str">
        <f>'1a FASE'!W43</f>
        <v>Barcelona</v>
      </c>
      <c r="X42" s="11">
        <f>+IF(C42=$B42,Pesos!$L$3,0)*IF(COUNTIF($C42:$W42,C42)=1,2,1)</f>
        <v>0</v>
      </c>
      <c r="Y42" s="11">
        <f>+IF(D42=$B42,Pesos!$L$3,0)*IF(COUNTIF($C42:$W42,D42)=1,2,1)</f>
        <v>0</v>
      </c>
      <c r="Z42" s="11">
        <f>+IF(E42=$B42,Pesos!$L$3,0)*IF(COUNTIF($C42:$W42,E42)=1,2,1)</f>
        <v>0</v>
      </c>
      <c r="AA42" s="11">
        <f>+IF(F42=$B42,Pesos!$L$3,0)*IF(COUNTIF($C42:$W42,F42)=1,2,1)</f>
        <v>0</v>
      </c>
      <c r="AB42" s="11">
        <f>+IF(G42=$B42,Pesos!$L$3,0)*IF(COUNTIF($C42:$W42,G42)=1,2,1)</f>
        <v>0</v>
      </c>
      <c r="AC42" s="11">
        <f>+IF(H42=$B42,Pesos!$L$3,0)*IF(COUNTIF($C42:$W42,H42)=1,2,1)</f>
        <v>0</v>
      </c>
      <c r="AD42" s="11">
        <f>+IF(I42=$B42,Pesos!$L$3,0)*IF(COUNTIF($C42:$W42,I42)=1,2,1)</f>
        <v>0</v>
      </c>
      <c r="AE42" s="11">
        <f>+IF(J42=$B42,Pesos!$L$3,0)*IF(COUNTIF($C42:$W42,J42)=1,2,1)</f>
        <v>0</v>
      </c>
      <c r="AF42" s="11">
        <f>+IF(K42=$B42,Pesos!$L$3,0)*IF(COUNTIF($C42:$W42,K42)=1,2,1)</f>
        <v>0</v>
      </c>
      <c r="AG42" s="11">
        <f>+IF(L42=$B42,Pesos!$L$3,0)*IF(COUNTIF($C42:$W42,L42)=1,2,1)</f>
        <v>0</v>
      </c>
      <c r="AH42" s="11">
        <f>+IF(M42=$B42,Pesos!$L$3,0)*IF(COUNTIF($C42:$W42,M42)=1,2,1)</f>
        <v>0</v>
      </c>
      <c r="AI42" s="11">
        <f>+IF(N42=$B42,Pesos!$L$3,0)*IF(COUNTIF($C42:$W42,N42)=1,2,1)</f>
        <v>0</v>
      </c>
      <c r="AJ42" s="11">
        <f>+IF(O42=$B42,Pesos!$L$3,0)*IF(COUNTIF($C42:$W42,O42)=1,2,1)</f>
        <v>0</v>
      </c>
      <c r="AK42" s="11">
        <f>+IF(P42=$B42,Pesos!$L$3,0)*IF(COUNTIF($C42:$W42,P42)=1,2,1)</f>
        <v>0</v>
      </c>
      <c r="AL42" s="11">
        <f>+IF(Q42=$B42,Pesos!$L$3,0)*IF(COUNTIF($C42:$W42,Q42)=1,2,1)</f>
        <v>0</v>
      </c>
      <c r="AM42" s="11">
        <f>+IF(R42=$B42,Pesos!$L$3,0)*IF(COUNTIF($C42:$W42,R42)=1,2,1)</f>
        <v>0</v>
      </c>
      <c r="AN42" s="11">
        <f>+IF(S42=$B42,Pesos!$L$3,0)*IF(COUNTIF($C42:$W42,S42)=1,2,1)</f>
        <v>0</v>
      </c>
      <c r="AO42" s="11">
        <f>+IF(T42=$B42,Pesos!$L$3,0)*IF(COUNTIF($C42:$W42,T42)=1,2,1)</f>
        <v>0</v>
      </c>
      <c r="AP42" s="11">
        <f>+IF(U42=$B42,Pesos!$L$3,0)*IF(COUNTIF($C42:$W42,U42)=1,2,1)</f>
        <v>0</v>
      </c>
      <c r="AQ42" s="11">
        <f>+IF(V42=$B42,Pesos!$L$3,0)*IF(COUNTIF($C42:$W42,V42)=1,2,1)</f>
        <v>0</v>
      </c>
      <c r="AR42" s="11">
        <f>+IF(W42=$B42,Pesos!$L$3,0)*IF(COUNTIF($C42:$W42,W42)=1,2,1)</f>
        <v>0</v>
      </c>
    </row>
    <row r="43" ht="12.75" customHeight="1">
      <c r="A43" s="1" t="str">
        <f>'1a FASE'!A44</f>
        <v>Machtday 3</v>
      </c>
      <c r="B43" s="8" t="str">
        <f>'1a FASE'!B44</f>
        <v>Barcelona</v>
      </c>
      <c r="C43" s="10" t="str">
        <f>'1a FASE'!C44</f>
        <v>Barcelona</v>
      </c>
      <c r="D43" s="10" t="str">
        <f>'1a FASE'!D44</f>
        <v>Barcelona</v>
      </c>
      <c r="E43" s="10" t="str">
        <f>'1a FASE'!E44</f>
        <v>Barcelona</v>
      </c>
      <c r="F43" s="10" t="str">
        <f>'1a FASE'!F44</f>
        <v>Barcelona</v>
      </c>
      <c r="G43" s="10" t="str">
        <f>'1a FASE'!G44</f>
        <v>Barcelona</v>
      </c>
      <c r="H43" s="10" t="str">
        <f>'1a FASE'!H44</f>
        <v>Barcelona</v>
      </c>
      <c r="I43" s="10" t="str">
        <f>'1a FASE'!I44</f>
        <v>Barcelona</v>
      </c>
      <c r="J43" s="10" t="str">
        <f>'1a FASE'!J44</f>
        <v>Barcelona</v>
      </c>
      <c r="K43" s="10" t="str">
        <f>'1a FASE'!K44</f>
        <v>Barcelona</v>
      </c>
      <c r="L43" s="10" t="str">
        <f>'1a FASE'!L44</f>
        <v>Barcelona</v>
      </c>
      <c r="M43" s="10" t="str">
        <f>'1a FASE'!M44</f>
        <v>Barcelona</v>
      </c>
      <c r="N43" s="10" t="str">
        <f>'1a FASE'!N44</f>
        <v>Barcelona</v>
      </c>
      <c r="O43" s="10" t="str">
        <f>'1a FASE'!O44</f>
        <v>Barcelona</v>
      </c>
      <c r="P43" s="10" t="str">
        <f>'1a FASE'!P44</f>
        <v>Barcelona</v>
      </c>
      <c r="Q43" s="10" t="str">
        <f>'1a FASE'!Q44</f>
        <v>Barcelona</v>
      </c>
      <c r="R43" s="10" t="str">
        <f>'1a FASE'!R44</f>
        <v>Barcelona</v>
      </c>
      <c r="S43" s="10" t="str">
        <f>'1a FASE'!S44</f>
        <v>Barcelona</v>
      </c>
      <c r="T43" s="10" t="str">
        <f>'1a FASE'!T44</f>
        <v>Barcelona</v>
      </c>
      <c r="U43" s="10" t="str">
        <f>'1a FASE'!U44</f>
        <v>Barcelona</v>
      </c>
      <c r="V43" s="10" t="str">
        <f>'1a FASE'!V44</f>
        <v>Barcelona</v>
      </c>
      <c r="W43" s="10" t="str">
        <f>'1a FASE'!W44</f>
        <v>Barcelona</v>
      </c>
      <c r="X43" s="10">
        <f>+IF(C43=$B43,Pesos!$L$3,0)*IF(COUNTIF($C43:$W43,C43)=1,2,1)</f>
        <v>0.85</v>
      </c>
      <c r="Y43" s="10">
        <f>+IF(D43=$B43,Pesos!$L$3,0)*IF(COUNTIF($C43:$W43,D43)=1,2,1)</f>
        <v>0.85</v>
      </c>
      <c r="Z43" s="10">
        <f>+IF(E43=$B43,Pesos!$L$3,0)*IF(COUNTIF($C43:$W43,E43)=1,2,1)</f>
        <v>0.85</v>
      </c>
      <c r="AA43" s="10">
        <f>+IF(F43=$B43,Pesos!$L$3,0)*IF(COUNTIF($C43:$W43,F43)=1,2,1)</f>
        <v>0.85</v>
      </c>
      <c r="AB43" s="10">
        <f>+IF(G43=$B43,Pesos!$L$3,0)*IF(COUNTIF($C43:$W43,G43)=1,2,1)</f>
        <v>0.85</v>
      </c>
      <c r="AC43" s="10">
        <f>+IF(H43=$B43,Pesos!$L$3,0)*IF(COUNTIF($C43:$W43,H43)=1,2,1)</f>
        <v>0.85</v>
      </c>
      <c r="AD43" s="10">
        <f>+IF(I43=$B43,Pesos!$L$3,0)*IF(COUNTIF($C43:$W43,I43)=1,2,1)</f>
        <v>0.85</v>
      </c>
      <c r="AE43" s="10">
        <f>+IF(J43=$B43,Pesos!$L$3,0)*IF(COUNTIF($C43:$W43,J43)=1,2,1)</f>
        <v>0.85</v>
      </c>
      <c r="AF43" s="10">
        <f>+IF(K43=$B43,Pesos!$L$3,0)*IF(COUNTIF($C43:$W43,K43)=1,2,1)</f>
        <v>0.85</v>
      </c>
      <c r="AG43" s="10">
        <f>+IF(L43=$B43,Pesos!$L$3,0)*IF(COUNTIF($C43:$W43,L43)=1,2,1)</f>
        <v>0.85</v>
      </c>
      <c r="AH43" s="10">
        <f>+IF(M43=$B43,Pesos!$L$3,0)*IF(COUNTIF($C43:$W43,M43)=1,2,1)</f>
        <v>0.85</v>
      </c>
      <c r="AI43" s="10">
        <f>+IF(N43=$B43,Pesos!$L$3,0)*IF(COUNTIF($C43:$W43,N43)=1,2,1)</f>
        <v>0.85</v>
      </c>
      <c r="AJ43" s="10">
        <f>+IF(O43=$B43,Pesos!$L$3,0)*IF(COUNTIF($C43:$W43,O43)=1,2,1)</f>
        <v>0.85</v>
      </c>
      <c r="AK43" s="10">
        <f>+IF(P43=$B43,Pesos!$L$3,0)*IF(COUNTIF($C43:$W43,P43)=1,2,1)</f>
        <v>0.85</v>
      </c>
      <c r="AL43" s="10">
        <f>+IF(Q43=$B43,Pesos!$L$3,0)*IF(COUNTIF($C43:$W43,Q43)=1,2,1)</f>
        <v>0.85</v>
      </c>
      <c r="AM43" s="10">
        <f>+IF(R43=$B43,Pesos!$L$3,0)*IF(COUNTIF($C43:$W43,R43)=1,2,1)</f>
        <v>0.85</v>
      </c>
      <c r="AN43" s="10">
        <f>+IF(S43=$B43,Pesos!$L$3,0)*IF(COUNTIF($C43:$W43,S43)=1,2,1)</f>
        <v>0.85</v>
      </c>
      <c r="AO43" s="10">
        <f>+IF(T43=$B43,Pesos!$L$3,0)*IF(COUNTIF($C43:$W43,T43)=1,2,1)</f>
        <v>0.85</v>
      </c>
      <c r="AP43" s="10">
        <f>+IF(U43=$B43,Pesos!$L$3,0)*IF(COUNTIF($C43:$W43,U43)=1,2,1)</f>
        <v>0.85</v>
      </c>
      <c r="AQ43" s="10">
        <f>+IF(V43=$B43,Pesos!$L$3,0)*IF(COUNTIF($C43:$W43,V43)=1,2,1)</f>
        <v>0.85</v>
      </c>
      <c r="AR43" s="10">
        <f>+IF(W43=$B43,Pesos!$L$3,0)*IF(COUNTIF($C43:$W43,W43)=1,2,1)</f>
        <v>0.85</v>
      </c>
    </row>
    <row r="44" ht="12.75" customHeight="1">
      <c r="A44" s="1" t="str">
        <f>'1a FASE'!A45</f>
        <v>Machtday 3</v>
      </c>
      <c r="B44" s="8" t="str">
        <f>'1a FASE'!B45</f>
        <v>Empate</v>
      </c>
      <c r="C44" s="11" t="str">
        <f>'1a FASE'!C45</f>
        <v>Pafos</v>
      </c>
      <c r="D44" s="11" t="str">
        <f>'1a FASE'!D45</f>
        <v>Pafos</v>
      </c>
      <c r="E44" s="11" t="str">
        <f>'1a FASE'!E45</f>
        <v>Kairat</v>
      </c>
      <c r="F44" s="11" t="str">
        <f>'1a FASE'!F45</f>
        <v>Kairat</v>
      </c>
      <c r="G44" s="11" t="str">
        <f>'1a FASE'!G45</f>
        <v>Empate</v>
      </c>
      <c r="H44" s="11" t="str">
        <f>'1a FASE'!H45</f>
        <v>Kairat</v>
      </c>
      <c r="I44" s="11" t="str">
        <f>'1a FASE'!I45</f>
        <v>Empate</v>
      </c>
      <c r="J44" s="11" t="str">
        <f>'1a FASE'!J45</f>
        <v>Kairat</v>
      </c>
      <c r="K44" s="11" t="str">
        <f>'1a FASE'!K45</f>
        <v>Pafos</v>
      </c>
      <c r="L44" s="11" t="str">
        <f>'1a FASE'!L45</f>
        <v>Empate</v>
      </c>
      <c r="M44" s="11" t="str">
        <f>'1a FASE'!M45</f>
        <v>Empate</v>
      </c>
      <c r="N44" s="11" t="str">
        <f>'1a FASE'!N45</f>
        <v>Kairat</v>
      </c>
      <c r="O44" s="11" t="str">
        <f>'1a FASE'!O45</f>
        <v>Pafos</v>
      </c>
      <c r="P44" s="11" t="str">
        <f>'1a FASE'!P45</f>
        <v>Empate</v>
      </c>
      <c r="Q44" s="11" t="str">
        <f>'1a FASE'!Q45</f>
        <v>Kairat</v>
      </c>
      <c r="R44" s="11" t="str">
        <f>'1a FASE'!R45</f>
        <v>Kairat</v>
      </c>
      <c r="S44" s="11" t="str">
        <f>'1a FASE'!S45</f>
        <v>Pafos</v>
      </c>
      <c r="T44" s="11" t="str">
        <f>'1a FASE'!T45</f>
        <v>Kairat</v>
      </c>
      <c r="U44" s="11" t="str">
        <f>'1a FASE'!U45</f>
        <v>Empate</v>
      </c>
      <c r="V44" s="11" t="str">
        <f>'1a FASE'!V45</f>
        <v>Pafos</v>
      </c>
      <c r="W44" s="11" t="str">
        <f>'1a FASE'!W45</f>
        <v>Kairat</v>
      </c>
      <c r="X44" s="11">
        <f>+IF(C44=$B44,Pesos!$L$3,0)*IF(COUNTIF($C44:$W44,C44)=1,2,1)</f>
        <v>0</v>
      </c>
      <c r="Y44" s="11">
        <f>+IF(D44=$B44,Pesos!$L$3,0)*IF(COUNTIF($C44:$W44,D44)=1,2,1)</f>
        <v>0</v>
      </c>
      <c r="Z44" s="11">
        <f>+IF(E44=$B44,Pesos!$L$3,0)*IF(COUNTIF($C44:$W44,E44)=1,2,1)</f>
        <v>0</v>
      </c>
      <c r="AA44" s="11">
        <f>+IF(F44=$B44,Pesos!$L$3,0)*IF(COUNTIF($C44:$W44,F44)=1,2,1)</f>
        <v>0</v>
      </c>
      <c r="AB44" s="11">
        <f>+IF(G44=$B44,Pesos!$L$3,0)*IF(COUNTIF($C44:$W44,G44)=1,2,1)</f>
        <v>0.85</v>
      </c>
      <c r="AC44" s="11">
        <f>+IF(H44=$B44,Pesos!$L$3,0)*IF(COUNTIF($C44:$W44,H44)=1,2,1)</f>
        <v>0</v>
      </c>
      <c r="AD44" s="11">
        <f>+IF(I44=$B44,Pesos!$L$3,0)*IF(COUNTIF($C44:$W44,I44)=1,2,1)</f>
        <v>0.85</v>
      </c>
      <c r="AE44" s="11">
        <f>+IF(J44=$B44,Pesos!$L$3,0)*IF(COUNTIF($C44:$W44,J44)=1,2,1)</f>
        <v>0</v>
      </c>
      <c r="AF44" s="11">
        <f>+IF(K44=$B44,Pesos!$L$3,0)*IF(COUNTIF($C44:$W44,K44)=1,2,1)</f>
        <v>0</v>
      </c>
      <c r="AG44" s="11">
        <f>+IF(L44=$B44,Pesos!$L$3,0)*IF(COUNTIF($C44:$W44,L44)=1,2,1)</f>
        <v>0.85</v>
      </c>
      <c r="AH44" s="11">
        <f>+IF(M44=$B44,Pesos!$L$3,0)*IF(COUNTIF($C44:$W44,M44)=1,2,1)</f>
        <v>0.85</v>
      </c>
      <c r="AI44" s="11">
        <f>+IF(N44=$B44,Pesos!$L$3,0)*IF(COUNTIF($C44:$W44,N44)=1,2,1)</f>
        <v>0</v>
      </c>
      <c r="AJ44" s="11">
        <f>+IF(O44=$B44,Pesos!$L$3,0)*IF(COUNTIF($C44:$W44,O44)=1,2,1)</f>
        <v>0</v>
      </c>
      <c r="AK44" s="11">
        <f>+IF(P44=$B44,Pesos!$L$3,0)*IF(COUNTIF($C44:$W44,P44)=1,2,1)</f>
        <v>0.85</v>
      </c>
      <c r="AL44" s="11">
        <f>+IF(Q44=$B44,Pesos!$L$3,0)*IF(COUNTIF($C44:$W44,Q44)=1,2,1)</f>
        <v>0</v>
      </c>
      <c r="AM44" s="11">
        <f>+IF(R44=$B44,Pesos!$L$3,0)*IF(COUNTIF($C44:$W44,R44)=1,2,1)</f>
        <v>0</v>
      </c>
      <c r="AN44" s="11">
        <f>+IF(S44=$B44,Pesos!$L$3,0)*IF(COUNTIF($C44:$W44,S44)=1,2,1)</f>
        <v>0</v>
      </c>
      <c r="AO44" s="11">
        <f>+IF(T44=$B44,Pesos!$L$3,0)*IF(COUNTIF($C44:$W44,T44)=1,2,1)</f>
        <v>0</v>
      </c>
      <c r="AP44" s="11">
        <f>+IF(U44=$B44,Pesos!$L$3,0)*IF(COUNTIF($C44:$W44,U44)=1,2,1)</f>
        <v>0.85</v>
      </c>
      <c r="AQ44" s="11">
        <f>+IF(V44=$B44,Pesos!$L$3,0)*IF(COUNTIF($C44:$W44,V44)=1,2,1)</f>
        <v>0</v>
      </c>
      <c r="AR44" s="11">
        <f>+IF(W44=$B44,Pesos!$L$3,0)*IF(COUNTIF($C44:$W44,W44)=1,2,1)</f>
        <v>0</v>
      </c>
    </row>
    <row r="45" ht="12.75" customHeight="1">
      <c r="A45" s="1" t="str">
        <f>'1a FASE'!A46</f>
        <v>Machtday 3</v>
      </c>
      <c r="B45" s="8" t="str">
        <f>'1a FASE'!B46</f>
        <v>Arsenal</v>
      </c>
      <c r="C45" s="10" t="str">
        <f>'1a FASE'!C46</f>
        <v>Arsenal</v>
      </c>
      <c r="D45" s="10" t="str">
        <f>'1a FASE'!D46</f>
        <v>Arsenal</v>
      </c>
      <c r="E45" s="10" t="str">
        <f>'1a FASE'!E46</f>
        <v>Arsenal</v>
      </c>
      <c r="F45" s="10" t="str">
        <f>'1a FASE'!F46</f>
        <v>Arsenal</v>
      </c>
      <c r="G45" s="10" t="str">
        <f>'1a FASE'!G46</f>
        <v>Arsenal</v>
      </c>
      <c r="H45" s="10" t="str">
        <f>'1a FASE'!H46</f>
        <v>Arsenal</v>
      </c>
      <c r="I45" s="10" t="str">
        <f>'1a FASE'!I46</f>
        <v>Arsenal</v>
      </c>
      <c r="J45" s="10" t="str">
        <f>'1a FASE'!J46</f>
        <v>Arsenal</v>
      </c>
      <c r="K45" s="10" t="str">
        <f>'1a FASE'!K46</f>
        <v>Atlético de Madrid</v>
      </c>
      <c r="L45" s="10" t="str">
        <f>'1a FASE'!L46</f>
        <v>Empate</v>
      </c>
      <c r="M45" s="10" t="str">
        <f>'1a FASE'!M46</f>
        <v>Arsenal</v>
      </c>
      <c r="N45" s="10" t="str">
        <f>'1a FASE'!N46</f>
        <v>Arsenal</v>
      </c>
      <c r="O45" s="10" t="str">
        <f>'1a FASE'!O46</f>
        <v>Arsenal</v>
      </c>
      <c r="P45" s="10" t="str">
        <f>'1a FASE'!P46</f>
        <v>Arsenal</v>
      </c>
      <c r="Q45" s="10" t="str">
        <f>'1a FASE'!Q46</f>
        <v>Arsenal</v>
      </c>
      <c r="R45" s="10" t="str">
        <f>'1a FASE'!R46</f>
        <v>Arsenal</v>
      </c>
      <c r="S45" s="10" t="str">
        <f>'1a FASE'!S46</f>
        <v>Arsenal</v>
      </c>
      <c r="T45" s="10" t="str">
        <f>'1a FASE'!T46</f>
        <v>Arsenal</v>
      </c>
      <c r="U45" s="10" t="str">
        <f>'1a FASE'!U46</f>
        <v>Arsenal</v>
      </c>
      <c r="V45" s="10" t="str">
        <f>'1a FASE'!V46</f>
        <v>Atlético de Madrid</v>
      </c>
      <c r="W45" s="10" t="str">
        <f>'1a FASE'!W46</f>
        <v>Empate</v>
      </c>
      <c r="X45" s="10">
        <f>+IF(C45=$B45,Pesos!$L$3,0)*IF(COUNTIF($C45:$W45,C45)=1,2,1)</f>
        <v>0.85</v>
      </c>
      <c r="Y45" s="10">
        <f>+IF(D45=$B45,Pesos!$L$3,0)*IF(COUNTIF($C45:$W45,D45)=1,2,1)</f>
        <v>0.85</v>
      </c>
      <c r="Z45" s="10">
        <f>+IF(E45=$B45,Pesos!$L$3,0)*IF(COUNTIF($C45:$W45,E45)=1,2,1)</f>
        <v>0.85</v>
      </c>
      <c r="AA45" s="10">
        <f>+IF(F45=$B45,Pesos!$L$3,0)*IF(COUNTIF($C45:$W45,F45)=1,2,1)</f>
        <v>0.85</v>
      </c>
      <c r="AB45" s="10">
        <f>+IF(G45=$B45,Pesos!$L$3,0)*IF(COUNTIF($C45:$W45,G45)=1,2,1)</f>
        <v>0.85</v>
      </c>
      <c r="AC45" s="10">
        <f>+IF(H45=$B45,Pesos!$L$3,0)*IF(COUNTIF($C45:$W45,H45)=1,2,1)</f>
        <v>0.85</v>
      </c>
      <c r="AD45" s="10">
        <f>+IF(I45=$B45,Pesos!$L$3,0)*IF(COUNTIF($C45:$W45,I45)=1,2,1)</f>
        <v>0.85</v>
      </c>
      <c r="AE45" s="10">
        <f>+IF(J45=$B45,Pesos!$L$3,0)*IF(COUNTIF($C45:$W45,J45)=1,2,1)</f>
        <v>0.85</v>
      </c>
      <c r="AF45" s="10">
        <f>+IF(K45=$B45,Pesos!$L$3,0)*IF(COUNTIF($C45:$W45,K45)=1,2,1)</f>
        <v>0</v>
      </c>
      <c r="AG45" s="10">
        <f>+IF(L45=$B45,Pesos!$L$3,0)*IF(COUNTIF($C45:$W45,L45)=1,2,1)</f>
        <v>0</v>
      </c>
      <c r="AH45" s="10">
        <f>+IF(M45=$B45,Pesos!$L$3,0)*IF(COUNTIF($C45:$W45,M45)=1,2,1)</f>
        <v>0.85</v>
      </c>
      <c r="AI45" s="10">
        <f>+IF(N45=$B45,Pesos!$L$3,0)*IF(COUNTIF($C45:$W45,N45)=1,2,1)</f>
        <v>0.85</v>
      </c>
      <c r="AJ45" s="10">
        <f>+IF(O45=$B45,Pesos!$L$3,0)*IF(COUNTIF($C45:$W45,O45)=1,2,1)</f>
        <v>0.85</v>
      </c>
      <c r="AK45" s="10">
        <f>+IF(P45=$B45,Pesos!$L$3,0)*IF(COUNTIF($C45:$W45,P45)=1,2,1)</f>
        <v>0.85</v>
      </c>
      <c r="AL45" s="10">
        <f>+IF(Q45=$B45,Pesos!$L$3,0)*IF(COUNTIF($C45:$W45,Q45)=1,2,1)</f>
        <v>0.85</v>
      </c>
      <c r="AM45" s="10">
        <f>+IF(R45=$B45,Pesos!$L$3,0)*IF(COUNTIF($C45:$W45,R45)=1,2,1)</f>
        <v>0.85</v>
      </c>
      <c r="AN45" s="10">
        <f>+IF(S45=$B45,Pesos!$L$3,0)*IF(COUNTIF($C45:$W45,S45)=1,2,1)</f>
        <v>0.85</v>
      </c>
      <c r="AO45" s="10">
        <f>+IF(T45=$B45,Pesos!$L$3,0)*IF(COUNTIF($C45:$W45,T45)=1,2,1)</f>
        <v>0.85</v>
      </c>
      <c r="AP45" s="10">
        <f>+IF(U45=$B45,Pesos!$L$3,0)*IF(COUNTIF($C45:$W45,U45)=1,2,1)</f>
        <v>0.85</v>
      </c>
      <c r="AQ45" s="10">
        <f>+IF(V45=$B45,Pesos!$L$3,0)*IF(COUNTIF($C45:$W45,V45)=1,2,1)</f>
        <v>0</v>
      </c>
      <c r="AR45" s="10">
        <f>+IF(W45=$B45,Pesos!$L$3,0)*IF(COUNTIF($C45:$W45,W45)=1,2,1)</f>
        <v>0</v>
      </c>
    </row>
    <row r="46" ht="12.75" customHeight="1">
      <c r="A46" s="1" t="str">
        <f>'1a FASE'!A47</f>
        <v>Machtday 3</v>
      </c>
      <c r="B46" s="8" t="str">
        <f>'1a FASE'!B47</f>
        <v>Paris Saint-Germain</v>
      </c>
      <c r="C46" s="11" t="str">
        <f>'1a FASE'!C47</f>
        <v>Paris Saint-Germain</v>
      </c>
      <c r="D46" s="11" t="str">
        <f>'1a FASE'!D47</f>
        <v>Paris Saint-Germain</v>
      </c>
      <c r="E46" s="11" t="str">
        <f>'1a FASE'!E47</f>
        <v>Paris Saint-Germain</v>
      </c>
      <c r="F46" s="11" t="str">
        <f>'1a FASE'!F47</f>
        <v>Paris Saint-Germain</v>
      </c>
      <c r="G46" s="11" t="str">
        <f>'1a FASE'!G47</f>
        <v>Paris Saint-Germain</v>
      </c>
      <c r="H46" s="11" t="str">
        <f>'1a FASE'!H47</f>
        <v>Bayer Leverkusen</v>
      </c>
      <c r="I46" s="11" t="str">
        <f>'1a FASE'!I47</f>
        <v>Paris Saint-Germain</v>
      </c>
      <c r="J46" s="11" t="str">
        <f>'1a FASE'!J47</f>
        <v>Paris Saint-Germain</v>
      </c>
      <c r="K46" s="11" t="str">
        <f>'1a FASE'!K47</f>
        <v>Paris Saint-Germain</v>
      </c>
      <c r="L46" s="11" t="str">
        <f>'1a FASE'!L47</f>
        <v>Empate</v>
      </c>
      <c r="M46" s="11" t="str">
        <f>'1a FASE'!M47</f>
        <v>Paris Saint-Germain</v>
      </c>
      <c r="N46" s="11" t="str">
        <f>'1a FASE'!N47</f>
        <v>Paris Saint-Germain</v>
      </c>
      <c r="O46" s="11" t="str">
        <f>'1a FASE'!O47</f>
        <v>Paris Saint-Germain</v>
      </c>
      <c r="P46" s="11" t="str">
        <f>'1a FASE'!P47</f>
        <v>Paris Saint-Germain</v>
      </c>
      <c r="Q46" s="11" t="str">
        <f>'1a FASE'!Q47</f>
        <v>Paris Saint-Germain</v>
      </c>
      <c r="R46" s="11" t="str">
        <f>'1a FASE'!R47</f>
        <v>Empate</v>
      </c>
      <c r="S46" s="11" t="str">
        <f>'1a FASE'!S47</f>
        <v>Paris Saint-Germain</v>
      </c>
      <c r="T46" s="11" t="str">
        <f>'1a FASE'!T47</f>
        <v>Bayer Leverkusen</v>
      </c>
      <c r="U46" s="11" t="str">
        <f>'1a FASE'!U47</f>
        <v>Paris Saint-Germain</v>
      </c>
      <c r="V46" s="11" t="str">
        <f>'1a FASE'!V47</f>
        <v>Paris Saint-Germain</v>
      </c>
      <c r="W46" s="11" t="str">
        <f>'1a FASE'!W47</f>
        <v>Paris Saint-Germain</v>
      </c>
      <c r="X46" s="11">
        <f>+IF(C46=$B46,Pesos!$L$3,0)*IF(COUNTIF($C46:$W46,C46)=1,2,1)</f>
        <v>0.85</v>
      </c>
      <c r="Y46" s="11">
        <f>+IF(D46=$B46,Pesos!$L$3,0)*IF(COUNTIF($C46:$W46,D46)=1,2,1)</f>
        <v>0.85</v>
      </c>
      <c r="Z46" s="11">
        <f>+IF(E46=$B46,Pesos!$L$3,0)*IF(COUNTIF($C46:$W46,E46)=1,2,1)</f>
        <v>0.85</v>
      </c>
      <c r="AA46" s="11">
        <f>+IF(F46=$B46,Pesos!$L$3,0)*IF(COUNTIF($C46:$W46,F46)=1,2,1)</f>
        <v>0.85</v>
      </c>
      <c r="AB46" s="11">
        <f>+IF(G46=$B46,Pesos!$L$3,0)*IF(COUNTIF($C46:$W46,G46)=1,2,1)</f>
        <v>0.85</v>
      </c>
      <c r="AC46" s="11">
        <f>+IF(H46=$B46,Pesos!$L$3,0)*IF(COUNTIF($C46:$W46,H46)=1,2,1)</f>
        <v>0</v>
      </c>
      <c r="AD46" s="11">
        <f>+IF(I46=$B46,Pesos!$L$3,0)*IF(COUNTIF($C46:$W46,I46)=1,2,1)</f>
        <v>0.85</v>
      </c>
      <c r="AE46" s="11">
        <f>+IF(J46=$B46,Pesos!$L$3,0)*IF(COUNTIF($C46:$W46,J46)=1,2,1)</f>
        <v>0.85</v>
      </c>
      <c r="AF46" s="11">
        <f>+IF(K46=$B46,Pesos!$L$3,0)*IF(COUNTIF($C46:$W46,K46)=1,2,1)</f>
        <v>0.85</v>
      </c>
      <c r="AG46" s="11">
        <f>+IF(L46=$B46,Pesos!$L$3,0)*IF(COUNTIF($C46:$W46,L46)=1,2,1)</f>
        <v>0</v>
      </c>
      <c r="AH46" s="11">
        <f>+IF(M46=$B46,Pesos!$L$3,0)*IF(COUNTIF($C46:$W46,M46)=1,2,1)</f>
        <v>0.85</v>
      </c>
      <c r="AI46" s="11">
        <f>+IF(N46=$B46,Pesos!$L$3,0)*IF(COUNTIF($C46:$W46,N46)=1,2,1)</f>
        <v>0.85</v>
      </c>
      <c r="AJ46" s="11">
        <f>+IF(O46=$B46,Pesos!$L$3,0)*IF(COUNTIF($C46:$W46,O46)=1,2,1)</f>
        <v>0.85</v>
      </c>
      <c r="AK46" s="11">
        <f>+IF(P46=$B46,Pesos!$L$3,0)*IF(COUNTIF($C46:$W46,P46)=1,2,1)</f>
        <v>0.85</v>
      </c>
      <c r="AL46" s="11">
        <f>+IF(Q46=$B46,Pesos!$L$3,0)*IF(COUNTIF($C46:$W46,Q46)=1,2,1)</f>
        <v>0.85</v>
      </c>
      <c r="AM46" s="11">
        <f>+IF(R46=$B46,Pesos!$L$3,0)*IF(COUNTIF($C46:$W46,R46)=1,2,1)</f>
        <v>0</v>
      </c>
      <c r="AN46" s="11">
        <f>+IF(S46=$B46,Pesos!$L$3,0)*IF(COUNTIF($C46:$W46,S46)=1,2,1)</f>
        <v>0.85</v>
      </c>
      <c r="AO46" s="11">
        <f>+IF(T46=$B46,Pesos!$L$3,0)*IF(COUNTIF($C46:$W46,T46)=1,2,1)</f>
        <v>0</v>
      </c>
      <c r="AP46" s="11">
        <f>+IF(U46=$B46,Pesos!$L$3,0)*IF(COUNTIF($C46:$W46,U46)=1,2,1)</f>
        <v>0.85</v>
      </c>
      <c r="AQ46" s="11">
        <f>+IF(V46=$B46,Pesos!$L$3,0)*IF(COUNTIF($C46:$W46,V46)=1,2,1)</f>
        <v>0.85</v>
      </c>
      <c r="AR46" s="11">
        <f>+IF(W46=$B46,Pesos!$L$3,0)*IF(COUNTIF($C46:$W46,W46)=1,2,1)</f>
        <v>0.85</v>
      </c>
    </row>
    <row r="47" ht="12.75" customHeight="1">
      <c r="A47" s="1" t="str">
        <f>'1a FASE'!A48</f>
        <v>Machtday 3</v>
      </c>
      <c r="B47" s="8" t="str">
        <f>'1a FASE'!B48</f>
        <v>Manchester City</v>
      </c>
      <c r="C47" s="10" t="str">
        <f>'1a FASE'!C48</f>
        <v>Manchester City</v>
      </c>
      <c r="D47" s="10" t="str">
        <f>'1a FASE'!D48</f>
        <v>Manchester City</v>
      </c>
      <c r="E47" s="10" t="str">
        <f>'1a FASE'!E48</f>
        <v>Manchester City</v>
      </c>
      <c r="F47" s="10" t="str">
        <f>'1a FASE'!F48</f>
        <v>Manchester City</v>
      </c>
      <c r="G47" s="10" t="str">
        <f>'1a FASE'!G48</f>
        <v>Manchester City</v>
      </c>
      <c r="H47" s="10" t="str">
        <f>'1a FASE'!H48</f>
        <v>Villarreal</v>
      </c>
      <c r="I47" s="10" t="str">
        <f>'1a FASE'!I48</f>
        <v>Manchester City</v>
      </c>
      <c r="J47" s="10" t="str">
        <f>'1a FASE'!J48</f>
        <v>Empate</v>
      </c>
      <c r="K47" s="10" t="str">
        <f>'1a FASE'!K48</f>
        <v>Manchester City</v>
      </c>
      <c r="L47" s="10" t="str">
        <f>'1a FASE'!L48</f>
        <v>Manchester City</v>
      </c>
      <c r="M47" s="10" t="str">
        <f>'1a FASE'!M48</f>
        <v>Manchester City</v>
      </c>
      <c r="N47" s="10" t="str">
        <f>'1a FASE'!N48</f>
        <v>Manchester City</v>
      </c>
      <c r="O47" s="10" t="str">
        <f>'1a FASE'!O48</f>
        <v>Manchester City</v>
      </c>
      <c r="P47" s="10" t="str">
        <f>'1a FASE'!P48</f>
        <v>Manchester City</v>
      </c>
      <c r="Q47" s="10" t="str">
        <f>'1a FASE'!Q48</f>
        <v>Empate</v>
      </c>
      <c r="R47" s="10" t="str">
        <f>'1a FASE'!R48</f>
        <v>Empate</v>
      </c>
      <c r="S47" s="10" t="str">
        <f>'1a FASE'!S48</f>
        <v>Manchester City</v>
      </c>
      <c r="T47" s="10" t="str">
        <f>'1a FASE'!T48</f>
        <v>Villarreal</v>
      </c>
      <c r="U47" s="10" t="str">
        <f>'1a FASE'!U48</f>
        <v>Manchester City</v>
      </c>
      <c r="V47" s="10" t="str">
        <f>'1a FASE'!V48</f>
        <v>Manchester City</v>
      </c>
      <c r="W47" s="10" t="str">
        <f>'1a FASE'!W48</f>
        <v>Manchester City</v>
      </c>
      <c r="X47" s="10">
        <f>+IF(C47=$B47,Pesos!$L$3,0)*IF(COUNTIF($C47:$W47,C47)=1,2,1)</f>
        <v>0.85</v>
      </c>
      <c r="Y47" s="10">
        <f>+IF(D47=$B47,Pesos!$L$3,0)*IF(COUNTIF($C47:$W47,D47)=1,2,1)</f>
        <v>0.85</v>
      </c>
      <c r="Z47" s="10">
        <f>+IF(E47=$B47,Pesos!$L$3,0)*IF(COUNTIF($C47:$W47,E47)=1,2,1)</f>
        <v>0.85</v>
      </c>
      <c r="AA47" s="10">
        <f>+IF(F47=$B47,Pesos!$L$3,0)*IF(COUNTIF($C47:$W47,F47)=1,2,1)</f>
        <v>0.85</v>
      </c>
      <c r="AB47" s="10">
        <f>+IF(G47=$B47,Pesos!$L$3,0)*IF(COUNTIF($C47:$W47,G47)=1,2,1)</f>
        <v>0.85</v>
      </c>
      <c r="AC47" s="10">
        <f>+IF(H47=$B47,Pesos!$L$3,0)*IF(COUNTIF($C47:$W47,H47)=1,2,1)</f>
        <v>0</v>
      </c>
      <c r="AD47" s="10">
        <f>+IF(I47=$B47,Pesos!$L$3,0)*IF(COUNTIF($C47:$W47,I47)=1,2,1)</f>
        <v>0.85</v>
      </c>
      <c r="AE47" s="10">
        <f>+IF(J47=$B47,Pesos!$L$3,0)*IF(COUNTIF($C47:$W47,J47)=1,2,1)</f>
        <v>0</v>
      </c>
      <c r="AF47" s="10">
        <f>+IF(K47=$B47,Pesos!$L$3,0)*IF(COUNTIF($C47:$W47,K47)=1,2,1)</f>
        <v>0.85</v>
      </c>
      <c r="AG47" s="10">
        <f>+IF(L47=$B47,Pesos!$L$3,0)*IF(COUNTIF($C47:$W47,L47)=1,2,1)</f>
        <v>0.85</v>
      </c>
      <c r="AH47" s="10">
        <f>+IF(M47=$B47,Pesos!$L$3,0)*IF(COUNTIF($C47:$W47,M47)=1,2,1)</f>
        <v>0.85</v>
      </c>
      <c r="AI47" s="10">
        <f>+IF(N47=$B47,Pesos!$L$3,0)*IF(COUNTIF($C47:$W47,N47)=1,2,1)</f>
        <v>0.85</v>
      </c>
      <c r="AJ47" s="10">
        <f>+IF(O47=$B47,Pesos!$L$3,0)*IF(COUNTIF($C47:$W47,O47)=1,2,1)</f>
        <v>0.85</v>
      </c>
      <c r="AK47" s="10">
        <f>+IF(P47=$B47,Pesos!$L$3,0)*IF(COUNTIF($C47:$W47,P47)=1,2,1)</f>
        <v>0.85</v>
      </c>
      <c r="AL47" s="10">
        <f>+IF(Q47=$B47,Pesos!$L$3,0)*IF(COUNTIF($C47:$W47,Q47)=1,2,1)</f>
        <v>0</v>
      </c>
      <c r="AM47" s="10">
        <f>+IF(R47=$B47,Pesos!$L$3,0)*IF(COUNTIF($C47:$W47,R47)=1,2,1)</f>
        <v>0</v>
      </c>
      <c r="AN47" s="10">
        <f>+IF(S47=$B47,Pesos!$L$3,0)*IF(COUNTIF($C47:$W47,S47)=1,2,1)</f>
        <v>0.85</v>
      </c>
      <c r="AO47" s="10">
        <f>+IF(T47=$B47,Pesos!$L$3,0)*IF(COUNTIF($C47:$W47,T47)=1,2,1)</f>
        <v>0</v>
      </c>
      <c r="AP47" s="10">
        <f>+IF(U47=$B47,Pesos!$L$3,0)*IF(COUNTIF($C47:$W47,U47)=1,2,1)</f>
        <v>0.85</v>
      </c>
      <c r="AQ47" s="10">
        <f>+IF(V47=$B47,Pesos!$L$3,0)*IF(COUNTIF($C47:$W47,V47)=1,2,1)</f>
        <v>0.85</v>
      </c>
      <c r="AR47" s="10">
        <f>+IF(W47=$B47,Pesos!$L$3,0)*IF(COUNTIF($C47:$W47,W47)=1,2,1)</f>
        <v>0.85</v>
      </c>
    </row>
    <row r="48" ht="12.75" customHeight="1">
      <c r="A48" s="1" t="str">
        <f>'1a FASE'!A49</f>
        <v>Machtday 3</v>
      </c>
      <c r="B48" s="8" t="str">
        <f>'1a FASE'!B49</f>
        <v>PSV Eindhoven</v>
      </c>
      <c r="C48" s="11" t="str">
        <f>'1a FASE'!C49</f>
        <v>Napoli</v>
      </c>
      <c r="D48" s="11" t="str">
        <f>'1a FASE'!D49</f>
        <v>Napoli</v>
      </c>
      <c r="E48" s="11" t="str">
        <f>'1a FASE'!E49</f>
        <v>PSV Eindhoven</v>
      </c>
      <c r="F48" s="11" t="str">
        <f>'1a FASE'!F49</f>
        <v>Empate</v>
      </c>
      <c r="G48" s="11" t="str">
        <f>'1a FASE'!G49</f>
        <v>Empate</v>
      </c>
      <c r="H48" s="11" t="str">
        <f>'1a FASE'!H49</f>
        <v>PSV Eindhoven</v>
      </c>
      <c r="I48" s="11" t="str">
        <f>'1a FASE'!I49</f>
        <v>Napoli</v>
      </c>
      <c r="J48" s="11" t="str">
        <f>'1a FASE'!J49</f>
        <v>PSV Eindhoven</v>
      </c>
      <c r="K48" s="11" t="str">
        <f>'1a FASE'!K49</f>
        <v>PSV Eindhoven</v>
      </c>
      <c r="L48" s="11" t="str">
        <f>'1a FASE'!L49</f>
        <v>Napoli</v>
      </c>
      <c r="M48" s="11" t="str">
        <f>'1a FASE'!M49</f>
        <v>PSV Eindhoven</v>
      </c>
      <c r="N48" s="11" t="str">
        <f>'1a FASE'!N49</f>
        <v>Empate</v>
      </c>
      <c r="O48" s="11" t="str">
        <f>'1a FASE'!O49</f>
        <v>PSV Eindhoven</v>
      </c>
      <c r="P48" s="11" t="str">
        <f>'1a FASE'!P49</f>
        <v>Napoli</v>
      </c>
      <c r="Q48" s="11" t="str">
        <f>'1a FASE'!Q49</f>
        <v>PSV Eindhoven</v>
      </c>
      <c r="R48" s="11" t="str">
        <f>'1a FASE'!R49</f>
        <v>PSV Eindhoven</v>
      </c>
      <c r="S48" s="11" t="str">
        <f>'1a FASE'!S49</f>
        <v>Napoli</v>
      </c>
      <c r="T48" s="11" t="str">
        <f>'1a FASE'!T49</f>
        <v>PSV Eindhoven</v>
      </c>
      <c r="U48" s="11" t="str">
        <f>'1a FASE'!U49</f>
        <v>Napoli</v>
      </c>
      <c r="V48" s="11" t="str">
        <f>'1a FASE'!V49</f>
        <v>Napoli</v>
      </c>
      <c r="W48" s="11" t="str">
        <f>'1a FASE'!W49</f>
        <v>Napoli</v>
      </c>
      <c r="X48" s="11">
        <f>+IF(C48=$B48,Pesos!$L$3,0)*IF(COUNTIF($C48:$W48,C48)=1,2,1)</f>
        <v>0</v>
      </c>
      <c r="Y48" s="11">
        <f>+IF(D48=$B48,Pesos!$L$3,0)*IF(COUNTIF($C48:$W48,D48)=1,2,1)</f>
        <v>0</v>
      </c>
      <c r="Z48" s="11">
        <f>+IF(E48=$B48,Pesos!$L$3,0)*IF(COUNTIF($C48:$W48,E48)=1,2,1)</f>
        <v>0.85</v>
      </c>
      <c r="AA48" s="11">
        <f>+IF(F48=$B48,Pesos!$L$3,0)*IF(COUNTIF($C48:$W48,F48)=1,2,1)</f>
        <v>0</v>
      </c>
      <c r="AB48" s="11">
        <f>+IF(G48=$B48,Pesos!$L$3,0)*IF(COUNTIF($C48:$W48,G48)=1,2,1)</f>
        <v>0</v>
      </c>
      <c r="AC48" s="11">
        <f>+IF(H48=$B48,Pesos!$L$3,0)*IF(COUNTIF($C48:$W48,H48)=1,2,1)</f>
        <v>0.85</v>
      </c>
      <c r="AD48" s="11">
        <f>+IF(I48=$B48,Pesos!$L$3,0)*IF(COUNTIF($C48:$W48,I48)=1,2,1)</f>
        <v>0</v>
      </c>
      <c r="AE48" s="11">
        <f>+IF(J48=$B48,Pesos!$L$3,0)*IF(COUNTIF($C48:$W48,J48)=1,2,1)</f>
        <v>0.85</v>
      </c>
      <c r="AF48" s="11">
        <f>+IF(K48=$B48,Pesos!$L$3,0)*IF(COUNTIF($C48:$W48,K48)=1,2,1)</f>
        <v>0.85</v>
      </c>
      <c r="AG48" s="11">
        <f>+IF(L48=$B48,Pesos!$L$3,0)*IF(COUNTIF($C48:$W48,L48)=1,2,1)</f>
        <v>0</v>
      </c>
      <c r="AH48" s="11">
        <f>+IF(M48=$B48,Pesos!$L$3,0)*IF(COUNTIF($C48:$W48,M48)=1,2,1)</f>
        <v>0.85</v>
      </c>
      <c r="AI48" s="11">
        <f>+IF(N48=$B48,Pesos!$L$3,0)*IF(COUNTIF($C48:$W48,N48)=1,2,1)</f>
        <v>0</v>
      </c>
      <c r="AJ48" s="11">
        <f>+IF(O48=$B48,Pesos!$L$3,0)*IF(COUNTIF($C48:$W48,O48)=1,2,1)</f>
        <v>0.85</v>
      </c>
      <c r="AK48" s="11">
        <f>+IF(P48=$B48,Pesos!$L$3,0)*IF(COUNTIF($C48:$W48,P48)=1,2,1)</f>
        <v>0</v>
      </c>
      <c r="AL48" s="11">
        <f>+IF(Q48=$B48,Pesos!$L$3,0)*IF(COUNTIF($C48:$W48,Q48)=1,2,1)</f>
        <v>0.85</v>
      </c>
      <c r="AM48" s="11">
        <f>+IF(R48=$B48,Pesos!$L$3,0)*IF(COUNTIF($C48:$W48,R48)=1,2,1)</f>
        <v>0.85</v>
      </c>
      <c r="AN48" s="11">
        <f>+IF(S48=$B48,Pesos!$L$3,0)*IF(COUNTIF($C48:$W48,S48)=1,2,1)</f>
        <v>0</v>
      </c>
      <c r="AO48" s="11">
        <f>+IF(T48=$B48,Pesos!$L$3,0)*IF(COUNTIF($C48:$W48,T48)=1,2,1)</f>
        <v>0.85</v>
      </c>
      <c r="AP48" s="11">
        <f>+IF(U48=$B48,Pesos!$L$3,0)*IF(COUNTIF($C48:$W48,U48)=1,2,1)</f>
        <v>0</v>
      </c>
      <c r="AQ48" s="11">
        <f>+IF(V48=$B48,Pesos!$L$3,0)*IF(COUNTIF($C48:$W48,V48)=1,2,1)</f>
        <v>0</v>
      </c>
      <c r="AR48" s="11">
        <f>+IF(W48=$B48,Pesos!$L$3,0)*IF(COUNTIF($C48:$W48,W48)=1,2,1)</f>
        <v>0</v>
      </c>
    </row>
    <row r="49" ht="12.75" customHeight="1">
      <c r="A49" s="1" t="str">
        <f>'1a FASE'!A50</f>
        <v>Machtday 3</v>
      </c>
      <c r="B49" s="8" t="str">
        <f>'1a FASE'!B50</f>
        <v>Borussia Dortmund</v>
      </c>
      <c r="C49" s="10" t="str">
        <f>'1a FASE'!C50</f>
        <v>Borussia Dortmund</v>
      </c>
      <c r="D49" s="10" t="str">
        <f>'1a FASE'!D50</f>
        <v>Borussia Dortmund</v>
      </c>
      <c r="E49" s="10" t="str">
        <f>'1a FASE'!E50</f>
        <v>Borussia Dortmund</v>
      </c>
      <c r="F49" s="10" t="str">
        <f>'1a FASE'!F50</f>
        <v>Borussia Dortmund</v>
      </c>
      <c r="G49" s="10" t="str">
        <f>'1a FASE'!G50</f>
        <v>Borussia Dortmund</v>
      </c>
      <c r="H49" s="10" t="str">
        <f>'1a FASE'!H50</f>
        <v>Borussia Dortmund</v>
      </c>
      <c r="I49" s="10" t="str">
        <f>'1a FASE'!I50</f>
        <v>Borussia Dortmund</v>
      </c>
      <c r="J49" s="10" t="str">
        <f>'1a FASE'!J50</f>
        <v>Borussia Dortmund</v>
      </c>
      <c r="K49" s="10" t="str">
        <f>'1a FASE'!K50</f>
        <v>Borussia Dortmund</v>
      </c>
      <c r="L49" s="10" t="str">
        <f>'1a FASE'!L50</f>
        <v>Empate</v>
      </c>
      <c r="M49" s="10" t="str">
        <f>'1a FASE'!M50</f>
        <v>Empate</v>
      </c>
      <c r="N49" s="10" t="str">
        <f>'1a FASE'!N50</f>
        <v>Borussia Dortmund</v>
      </c>
      <c r="O49" s="10" t="str">
        <f>'1a FASE'!O50</f>
        <v>Borussia Dortmund</v>
      </c>
      <c r="P49" s="10" t="str">
        <f>'1a FASE'!P50</f>
        <v>Borussia Dortmund</v>
      </c>
      <c r="Q49" s="10" t="str">
        <f>'1a FASE'!Q50</f>
        <v>Borussia Dortmund</v>
      </c>
      <c r="R49" s="10" t="str">
        <f>'1a FASE'!R50</f>
        <v>Borussia Dortmund</v>
      </c>
      <c r="S49" s="10" t="str">
        <f>'1a FASE'!S50</f>
        <v>Borussia Dortmund</v>
      </c>
      <c r="T49" s="10" t="str">
        <f>'1a FASE'!T50</f>
        <v>Copenhagen</v>
      </c>
      <c r="U49" s="10" t="str">
        <f>'1a FASE'!U50</f>
        <v>Borussia Dortmund</v>
      </c>
      <c r="V49" s="10" t="str">
        <f>'1a FASE'!V50</f>
        <v>Borussia Dortmund</v>
      </c>
      <c r="W49" s="10" t="str">
        <f>'1a FASE'!W50</f>
        <v>Borussia Dortmund</v>
      </c>
      <c r="X49" s="10">
        <f>+IF(C49=$B49,Pesos!$L$3,0)*IF(COUNTIF($C49:$W49,C49)=1,2,1)</f>
        <v>0.85</v>
      </c>
      <c r="Y49" s="10">
        <f>+IF(D49=$B49,Pesos!$L$3,0)*IF(COUNTIF($C49:$W49,D49)=1,2,1)</f>
        <v>0.85</v>
      </c>
      <c r="Z49" s="10">
        <f>+IF(E49=$B49,Pesos!$L$3,0)*IF(COUNTIF($C49:$W49,E49)=1,2,1)</f>
        <v>0.85</v>
      </c>
      <c r="AA49" s="10">
        <f>+IF(F49=$B49,Pesos!$L$3,0)*IF(COUNTIF($C49:$W49,F49)=1,2,1)</f>
        <v>0.85</v>
      </c>
      <c r="AB49" s="10">
        <f>+IF(G49=$B49,Pesos!$L$3,0)*IF(COUNTIF($C49:$W49,G49)=1,2,1)</f>
        <v>0.85</v>
      </c>
      <c r="AC49" s="10">
        <f>+IF(H49=$B49,Pesos!$L$3,0)*IF(COUNTIF($C49:$W49,H49)=1,2,1)</f>
        <v>0.85</v>
      </c>
      <c r="AD49" s="10">
        <f>+IF(I49=$B49,Pesos!$L$3,0)*IF(COUNTIF($C49:$W49,I49)=1,2,1)</f>
        <v>0.85</v>
      </c>
      <c r="AE49" s="10">
        <f>+IF(J49=$B49,Pesos!$L$3,0)*IF(COUNTIF($C49:$W49,J49)=1,2,1)</f>
        <v>0.85</v>
      </c>
      <c r="AF49" s="10">
        <f>+IF(K49=$B49,Pesos!$L$3,0)*IF(COUNTIF($C49:$W49,K49)=1,2,1)</f>
        <v>0.85</v>
      </c>
      <c r="AG49" s="10">
        <f>+IF(L49=$B49,Pesos!$L$3,0)*IF(COUNTIF($C49:$W49,L49)=1,2,1)</f>
        <v>0</v>
      </c>
      <c r="AH49" s="10">
        <f>+IF(M49=$B49,Pesos!$L$3,0)*IF(COUNTIF($C49:$W49,M49)=1,2,1)</f>
        <v>0</v>
      </c>
      <c r="AI49" s="10">
        <f>+IF(N49=$B49,Pesos!$L$3,0)*IF(COUNTIF($C49:$W49,N49)=1,2,1)</f>
        <v>0.85</v>
      </c>
      <c r="AJ49" s="10">
        <f>+IF(O49=$B49,Pesos!$L$3,0)*IF(COUNTIF($C49:$W49,O49)=1,2,1)</f>
        <v>0.85</v>
      </c>
      <c r="AK49" s="10">
        <f>+IF(P49=$B49,Pesos!$L$3,0)*IF(COUNTIF($C49:$W49,P49)=1,2,1)</f>
        <v>0.85</v>
      </c>
      <c r="AL49" s="10">
        <f>+IF(Q49=$B49,Pesos!$L$3,0)*IF(COUNTIF($C49:$W49,Q49)=1,2,1)</f>
        <v>0.85</v>
      </c>
      <c r="AM49" s="10">
        <f>+IF(R49=$B49,Pesos!$L$3,0)*IF(COUNTIF($C49:$W49,R49)=1,2,1)</f>
        <v>0.85</v>
      </c>
      <c r="AN49" s="10">
        <f>+IF(S49=$B49,Pesos!$L$3,0)*IF(COUNTIF($C49:$W49,S49)=1,2,1)</f>
        <v>0.85</v>
      </c>
      <c r="AO49" s="10">
        <f>+IF(T49=$B49,Pesos!$L$3,0)*IF(COUNTIF($C49:$W49,T49)=1,2,1)</f>
        <v>0</v>
      </c>
      <c r="AP49" s="10">
        <f>+IF(U49=$B49,Pesos!$L$3,0)*IF(COUNTIF($C49:$W49,U49)=1,2,1)</f>
        <v>0.85</v>
      </c>
      <c r="AQ49" s="10">
        <f>+IF(V49=$B49,Pesos!$L$3,0)*IF(COUNTIF($C49:$W49,V49)=1,2,1)</f>
        <v>0.85</v>
      </c>
      <c r="AR49" s="10">
        <f>+IF(W49=$B49,Pesos!$L$3,0)*IF(COUNTIF($C49:$W49,W49)=1,2,1)</f>
        <v>0.85</v>
      </c>
    </row>
    <row r="50" ht="12.75" customHeight="1">
      <c r="A50" s="1" t="str">
        <f>'1a FASE'!A51</f>
        <v>Machtday 3</v>
      </c>
      <c r="B50" s="8" t="str">
        <f>'1a FASE'!B51</f>
        <v>Internazionale</v>
      </c>
      <c r="C50" s="11" t="str">
        <f>'1a FASE'!C51</f>
        <v>Internazionale</v>
      </c>
      <c r="D50" s="11" t="str">
        <f>'1a FASE'!D51</f>
        <v>Internazionale</v>
      </c>
      <c r="E50" s="11" t="str">
        <f>'1a FASE'!E51</f>
        <v>Internazionale</v>
      </c>
      <c r="F50" s="11" t="str">
        <f>'1a FASE'!F51</f>
        <v>Internazionale</v>
      </c>
      <c r="G50" s="11" t="str">
        <f>'1a FASE'!G51</f>
        <v>Internazionale</v>
      </c>
      <c r="H50" s="11" t="str">
        <f>'1a FASE'!H51</f>
        <v>Internazionale</v>
      </c>
      <c r="I50" s="11" t="str">
        <f>'1a FASE'!I51</f>
        <v>Internazionale</v>
      </c>
      <c r="J50" s="11" t="str">
        <f>'1a FASE'!J51</f>
        <v>Internazionale</v>
      </c>
      <c r="K50" s="11" t="str">
        <f>'1a FASE'!K51</f>
        <v>Union Saint-Gilloise</v>
      </c>
      <c r="L50" s="11" t="str">
        <f>'1a FASE'!L51</f>
        <v>Internazionale</v>
      </c>
      <c r="M50" s="11" t="str">
        <f>'1a FASE'!M51</f>
        <v>Internazionale</v>
      </c>
      <c r="N50" s="11" t="str">
        <f>'1a FASE'!N51</f>
        <v>Internazionale</v>
      </c>
      <c r="O50" s="11" t="str">
        <f>'1a FASE'!O51</f>
        <v>Internazionale</v>
      </c>
      <c r="P50" s="11" t="str">
        <f>'1a FASE'!P51</f>
        <v>Internazionale</v>
      </c>
      <c r="Q50" s="11" t="str">
        <f>'1a FASE'!Q51</f>
        <v>Empate</v>
      </c>
      <c r="R50" s="11" t="str">
        <f>'1a FASE'!R51</f>
        <v>Internazionale</v>
      </c>
      <c r="S50" s="11" t="str">
        <f>'1a FASE'!S51</f>
        <v>Internazionale</v>
      </c>
      <c r="T50" s="11" t="str">
        <f>'1a FASE'!T51</f>
        <v>Union Saint-Gilloise</v>
      </c>
      <c r="U50" s="11" t="str">
        <f>'1a FASE'!U51</f>
        <v>Internazionale</v>
      </c>
      <c r="V50" s="11" t="str">
        <f>'1a FASE'!V51</f>
        <v>Internazionale</v>
      </c>
      <c r="W50" s="11" t="str">
        <f>'1a FASE'!W51</f>
        <v>Internazionale</v>
      </c>
      <c r="X50" s="11">
        <f>+IF(C50=$B50,Pesos!$L$3,0)*IF(COUNTIF($C50:$W50,C50)=1,2,1)</f>
        <v>0.85</v>
      </c>
      <c r="Y50" s="11">
        <f>+IF(D50=$B50,Pesos!$L$3,0)*IF(COUNTIF($C50:$W50,D50)=1,2,1)</f>
        <v>0.85</v>
      </c>
      <c r="Z50" s="11">
        <f>+IF(E50=$B50,Pesos!$L$3,0)*IF(COUNTIF($C50:$W50,E50)=1,2,1)</f>
        <v>0.85</v>
      </c>
      <c r="AA50" s="11">
        <f>+IF(F50=$B50,Pesos!$L$3,0)*IF(COUNTIF($C50:$W50,F50)=1,2,1)</f>
        <v>0.85</v>
      </c>
      <c r="AB50" s="11">
        <f>+IF(G50=$B50,Pesos!$L$3,0)*IF(COUNTIF($C50:$W50,G50)=1,2,1)</f>
        <v>0.85</v>
      </c>
      <c r="AC50" s="11">
        <f>+IF(H50=$B50,Pesos!$L$3,0)*IF(COUNTIF($C50:$W50,H50)=1,2,1)</f>
        <v>0.85</v>
      </c>
      <c r="AD50" s="11">
        <f>+IF(I50=$B50,Pesos!$L$3,0)*IF(COUNTIF($C50:$W50,I50)=1,2,1)</f>
        <v>0.85</v>
      </c>
      <c r="AE50" s="11">
        <f>+IF(J50=$B50,Pesos!$L$3,0)*IF(COUNTIF($C50:$W50,J50)=1,2,1)</f>
        <v>0.85</v>
      </c>
      <c r="AF50" s="11">
        <f>+IF(K50=$B50,Pesos!$L$3,0)*IF(COUNTIF($C50:$W50,K50)=1,2,1)</f>
        <v>0</v>
      </c>
      <c r="AG50" s="11">
        <f>+IF(L50=$B50,Pesos!$L$3,0)*IF(COUNTIF($C50:$W50,L50)=1,2,1)</f>
        <v>0.85</v>
      </c>
      <c r="AH50" s="11">
        <f>+IF(M50=$B50,Pesos!$L$3,0)*IF(COUNTIF($C50:$W50,M50)=1,2,1)</f>
        <v>0.85</v>
      </c>
      <c r="AI50" s="11">
        <f>+IF(N50=$B50,Pesos!$L$3,0)*IF(COUNTIF($C50:$W50,N50)=1,2,1)</f>
        <v>0.85</v>
      </c>
      <c r="AJ50" s="11">
        <f>+IF(O50=$B50,Pesos!$L$3,0)*IF(COUNTIF($C50:$W50,O50)=1,2,1)</f>
        <v>0.85</v>
      </c>
      <c r="AK50" s="11">
        <f>+IF(P50=$B50,Pesos!$L$3,0)*IF(COUNTIF($C50:$W50,P50)=1,2,1)</f>
        <v>0.85</v>
      </c>
      <c r="AL50" s="11">
        <f>+IF(Q50=$B50,Pesos!$L$3,0)*IF(COUNTIF($C50:$W50,Q50)=1,2,1)</f>
        <v>0</v>
      </c>
      <c r="AM50" s="11">
        <f>+IF(R50=$B50,Pesos!$L$3,0)*IF(COUNTIF($C50:$W50,R50)=1,2,1)</f>
        <v>0.85</v>
      </c>
      <c r="AN50" s="11">
        <f>+IF(S50=$B50,Pesos!$L$3,0)*IF(COUNTIF($C50:$W50,S50)=1,2,1)</f>
        <v>0.85</v>
      </c>
      <c r="AO50" s="11">
        <f>+IF(T50=$B50,Pesos!$L$3,0)*IF(COUNTIF($C50:$W50,T50)=1,2,1)</f>
        <v>0</v>
      </c>
      <c r="AP50" s="11">
        <f>+IF(U50=$B50,Pesos!$L$3,0)*IF(COUNTIF($C50:$W50,U50)=1,2,1)</f>
        <v>0.85</v>
      </c>
      <c r="AQ50" s="11">
        <f>+IF(V50=$B50,Pesos!$L$3,0)*IF(COUNTIF($C50:$W50,V50)=1,2,1)</f>
        <v>0.85</v>
      </c>
      <c r="AR50" s="11">
        <f>+IF(W50=$B50,Pesos!$L$3,0)*IF(COUNTIF($C50:$W50,W50)=1,2,1)</f>
        <v>0.85</v>
      </c>
    </row>
    <row r="51" ht="12.75" customHeight="1">
      <c r="A51" s="1" t="str">
        <f>'1a FASE'!A52</f>
        <v>Machtday 3</v>
      </c>
      <c r="B51" s="8" t="str">
        <f>'1a FASE'!B52</f>
        <v>Newcastle</v>
      </c>
      <c r="C51" s="10" t="str">
        <f>'1a FASE'!C52</f>
        <v>Newcastle</v>
      </c>
      <c r="D51" s="10" t="str">
        <f>'1a FASE'!D52</f>
        <v>Newcastle</v>
      </c>
      <c r="E51" s="10" t="str">
        <f>'1a FASE'!E52</f>
        <v>Benfica</v>
      </c>
      <c r="F51" s="10" t="str">
        <f>'1a FASE'!F52</f>
        <v>Newcastle</v>
      </c>
      <c r="G51" s="10" t="str">
        <f>'1a FASE'!G52</f>
        <v>Newcastle</v>
      </c>
      <c r="H51" s="10" t="str">
        <f>'1a FASE'!H52</f>
        <v>Newcastle</v>
      </c>
      <c r="I51" s="10" t="str">
        <f>'1a FASE'!I52</f>
        <v>Newcastle</v>
      </c>
      <c r="J51" s="10" t="str">
        <f>'1a FASE'!J52</f>
        <v>Newcastle</v>
      </c>
      <c r="K51" s="10" t="str">
        <f>'1a FASE'!K52</f>
        <v>Newcastle</v>
      </c>
      <c r="L51" s="10" t="str">
        <f>'1a FASE'!L52</f>
        <v>Newcastle</v>
      </c>
      <c r="M51" s="10" t="str">
        <f>'1a FASE'!M52</f>
        <v>Newcastle</v>
      </c>
      <c r="N51" s="10" t="str">
        <f>'1a FASE'!N52</f>
        <v>Newcastle</v>
      </c>
      <c r="O51" s="10" t="str">
        <f>'1a FASE'!O52</f>
        <v>Empate</v>
      </c>
      <c r="P51" s="10" t="str">
        <f>'1a FASE'!P52</f>
        <v>Empate</v>
      </c>
      <c r="Q51" s="10" t="str">
        <f>'1a FASE'!Q52</f>
        <v>Newcastle</v>
      </c>
      <c r="R51" s="10" t="str">
        <f>'1a FASE'!R52</f>
        <v>Newcastle</v>
      </c>
      <c r="S51" s="10" t="str">
        <f>'1a FASE'!S52</f>
        <v>Empate</v>
      </c>
      <c r="T51" s="10" t="str">
        <f>'1a FASE'!T52</f>
        <v>Newcastle</v>
      </c>
      <c r="U51" s="10" t="str">
        <f>'1a FASE'!U52</f>
        <v>Empate</v>
      </c>
      <c r="V51" s="10" t="str">
        <f>'1a FASE'!V52</f>
        <v>Benfica</v>
      </c>
      <c r="W51" s="10" t="str">
        <f>'1a FASE'!W52</f>
        <v>Newcastle</v>
      </c>
      <c r="X51" s="10">
        <f>+IF(C51=$B51,Pesos!$L$3,0)*IF(COUNTIF($C51:$W51,C51)=1,2,1)</f>
        <v>0.85</v>
      </c>
      <c r="Y51" s="10">
        <f>+IF(D51=$B51,Pesos!$L$3,0)*IF(COUNTIF($C51:$W51,D51)=1,2,1)</f>
        <v>0.85</v>
      </c>
      <c r="Z51" s="10">
        <f>+IF(E51=$B51,Pesos!$L$3,0)*IF(COUNTIF($C51:$W51,E51)=1,2,1)</f>
        <v>0</v>
      </c>
      <c r="AA51" s="10">
        <f>+IF(F51=$B51,Pesos!$L$3,0)*IF(COUNTIF($C51:$W51,F51)=1,2,1)</f>
        <v>0.85</v>
      </c>
      <c r="AB51" s="10">
        <f>+IF(G51=$B51,Pesos!$L$3,0)*IF(COUNTIF($C51:$W51,G51)=1,2,1)</f>
        <v>0.85</v>
      </c>
      <c r="AC51" s="10">
        <f>+IF(H51=$B51,Pesos!$L$3,0)*IF(COUNTIF($C51:$W51,H51)=1,2,1)</f>
        <v>0.85</v>
      </c>
      <c r="AD51" s="10">
        <f>+IF(I51=$B51,Pesos!$L$3,0)*IF(COUNTIF($C51:$W51,I51)=1,2,1)</f>
        <v>0.85</v>
      </c>
      <c r="AE51" s="10">
        <f>+IF(J51=$B51,Pesos!$L$3,0)*IF(COUNTIF($C51:$W51,J51)=1,2,1)</f>
        <v>0.85</v>
      </c>
      <c r="AF51" s="10">
        <f>+IF(K51=$B51,Pesos!$L$3,0)*IF(COUNTIF($C51:$W51,K51)=1,2,1)</f>
        <v>0.85</v>
      </c>
      <c r="AG51" s="10">
        <f>+IF(L51=$B51,Pesos!$L$3,0)*IF(COUNTIF($C51:$W51,L51)=1,2,1)</f>
        <v>0.85</v>
      </c>
      <c r="AH51" s="10">
        <f>+IF(M51=$B51,Pesos!$L$3,0)*IF(COUNTIF($C51:$W51,M51)=1,2,1)</f>
        <v>0.85</v>
      </c>
      <c r="AI51" s="10">
        <f>+IF(N51=$B51,Pesos!$L$3,0)*IF(COUNTIF($C51:$W51,N51)=1,2,1)</f>
        <v>0.85</v>
      </c>
      <c r="AJ51" s="10">
        <f>+IF(O51=$B51,Pesos!$L$3,0)*IF(COUNTIF($C51:$W51,O51)=1,2,1)</f>
        <v>0</v>
      </c>
      <c r="AK51" s="10">
        <f>+IF(P51=$B51,Pesos!$L$3,0)*IF(COUNTIF($C51:$W51,P51)=1,2,1)</f>
        <v>0</v>
      </c>
      <c r="AL51" s="10">
        <f>+IF(Q51=$B51,Pesos!$L$3,0)*IF(COUNTIF($C51:$W51,Q51)=1,2,1)</f>
        <v>0.85</v>
      </c>
      <c r="AM51" s="10">
        <f>+IF(R51=$B51,Pesos!$L$3,0)*IF(COUNTIF($C51:$W51,R51)=1,2,1)</f>
        <v>0.85</v>
      </c>
      <c r="AN51" s="10">
        <f>+IF(S51=$B51,Pesos!$L$3,0)*IF(COUNTIF($C51:$W51,S51)=1,2,1)</f>
        <v>0</v>
      </c>
      <c r="AO51" s="10">
        <f>+IF(T51=$B51,Pesos!$L$3,0)*IF(COUNTIF($C51:$W51,T51)=1,2,1)</f>
        <v>0.85</v>
      </c>
      <c r="AP51" s="10">
        <f>+IF(U51=$B51,Pesos!$L$3,0)*IF(COUNTIF($C51:$W51,U51)=1,2,1)</f>
        <v>0</v>
      </c>
      <c r="AQ51" s="10">
        <f>+IF(V51=$B51,Pesos!$L$3,0)*IF(COUNTIF($C51:$W51,V51)=1,2,1)</f>
        <v>0</v>
      </c>
      <c r="AR51" s="10">
        <f>+IF(W51=$B51,Pesos!$L$3,0)*IF(COUNTIF($C51:$W51,W51)=1,2,1)</f>
        <v>0.85</v>
      </c>
    </row>
    <row r="52" ht="12.75" customHeight="1">
      <c r="A52" s="1" t="str">
        <f>'1a FASE'!A53</f>
        <v>Machtday 3</v>
      </c>
      <c r="B52" s="8" t="str">
        <f>'1a FASE'!B53</f>
        <v>Galatasaray</v>
      </c>
      <c r="C52" s="11" t="str">
        <f>'1a FASE'!C53</f>
        <v>Galatasaray</v>
      </c>
      <c r="D52" s="11" t="str">
        <f>'1a FASE'!D53</f>
        <v>Galatasaray</v>
      </c>
      <c r="E52" s="11" t="str">
        <f>'1a FASE'!E53</f>
        <v>Galatasaray</v>
      </c>
      <c r="F52" s="11" t="str">
        <f>'1a FASE'!F53</f>
        <v>Galatasaray</v>
      </c>
      <c r="G52" s="11" t="str">
        <f>'1a FASE'!G53</f>
        <v>Galatasaray</v>
      </c>
      <c r="H52" s="11" t="str">
        <f>'1a FASE'!H53</f>
        <v>Galatasaray</v>
      </c>
      <c r="I52" s="11" t="str">
        <f>'1a FASE'!I53</f>
        <v>Galatasaray</v>
      </c>
      <c r="J52" s="11" t="str">
        <f>'1a FASE'!J53</f>
        <v>Galatasaray</v>
      </c>
      <c r="K52" s="11" t="str">
        <f>'1a FASE'!K53</f>
        <v>Galatasaray</v>
      </c>
      <c r="L52" s="11" t="str">
        <f>'1a FASE'!L53</f>
        <v>Galatasaray</v>
      </c>
      <c r="M52" s="11" t="str">
        <f>'1a FASE'!M53</f>
        <v>Galatasaray</v>
      </c>
      <c r="N52" s="11" t="str">
        <f>'1a FASE'!N53</f>
        <v>Galatasaray</v>
      </c>
      <c r="O52" s="11" t="str">
        <f>'1a FASE'!O53</f>
        <v>Galatasaray</v>
      </c>
      <c r="P52" s="11" t="str">
        <f>'1a FASE'!P53</f>
        <v>Galatasaray</v>
      </c>
      <c r="Q52" s="11" t="str">
        <f>'1a FASE'!Q53</f>
        <v>Galatasaray</v>
      </c>
      <c r="R52" s="11" t="str">
        <f>'1a FASE'!R53</f>
        <v>Galatasaray</v>
      </c>
      <c r="S52" s="11" t="str">
        <f>'1a FASE'!S53</f>
        <v>Galatasaray</v>
      </c>
      <c r="T52" s="11" t="str">
        <f>'1a FASE'!T53</f>
        <v>Galatasaray</v>
      </c>
      <c r="U52" s="11" t="str">
        <f>'1a FASE'!U53</f>
        <v>Empate</v>
      </c>
      <c r="V52" s="11" t="str">
        <f>'1a FASE'!V53</f>
        <v>Empate</v>
      </c>
      <c r="W52" s="11" t="str">
        <f>'1a FASE'!W53</f>
        <v>Galatasaray</v>
      </c>
      <c r="X52" s="11">
        <f>+IF(C52=$B52,Pesos!$L$3,0)*IF(COUNTIF($C52:$W52,C52)=1,2,1)</f>
        <v>0.85</v>
      </c>
      <c r="Y52" s="11">
        <f>+IF(D52=$B52,Pesos!$L$3,0)*IF(COUNTIF($C52:$W52,D52)=1,2,1)</f>
        <v>0.85</v>
      </c>
      <c r="Z52" s="11">
        <f>+IF(E52=$B52,Pesos!$L$3,0)*IF(COUNTIF($C52:$W52,E52)=1,2,1)</f>
        <v>0.85</v>
      </c>
      <c r="AA52" s="11">
        <f>+IF(F52=$B52,Pesos!$L$3,0)*IF(COUNTIF($C52:$W52,F52)=1,2,1)</f>
        <v>0.85</v>
      </c>
      <c r="AB52" s="11">
        <f>+IF(G52=$B52,Pesos!$L$3,0)*IF(COUNTIF($C52:$W52,G52)=1,2,1)</f>
        <v>0.85</v>
      </c>
      <c r="AC52" s="11">
        <f>+IF(H52=$B52,Pesos!$L$3,0)*IF(COUNTIF($C52:$W52,H52)=1,2,1)</f>
        <v>0.85</v>
      </c>
      <c r="AD52" s="11">
        <f>+IF(I52=$B52,Pesos!$L$3,0)*IF(COUNTIF($C52:$W52,I52)=1,2,1)</f>
        <v>0.85</v>
      </c>
      <c r="AE52" s="11">
        <f>+IF(J52=$B52,Pesos!$L$3,0)*IF(COUNTIF($C52:$W52,J52)=1,2,1)</f>
        <v>0.85</v>
      </c>
      <c r="AF52" s="11">
        <f>+IF(K52=$B52,Pesos!$L$3,0)*IF(COUNTIF($C52:$W52,K52)=1,2,1)</f>
        <v>0.85</v>
      </c>
      <c r="AG52" s="11">
        <f>+IF(L52=$B52,Pesos!$L$3,0)*IF(COUNTIF($C52:$W52,L52)=1,2,1)</f>
        <v>0.85</v>
      </c>
      <c r="AH52" s="11">
        <f>+IF(M52=$B52,Pesos!$L$3,0)*IF(COUNTIF($C52:$W52,M52)=1,2,1)</f>
        <v>0.85</v>
      </c>
      <c r="AI52" s="11">
        <f>+IF(N52=$B52,Pesos!$L$3,0)*IF(COUNTIF($C52:$W52,N52)=1,2,1)</f>
        <v>0.85</v>
      </c>
      <c r="AJ52" s="11">
        <f>+IF(O52=$B52,Pesos!$L$3,0)*IF(COUNTIF($C52:$W52,O52)=1,2,1)</f>
        <v>0.85</v>
      </c>
      <c r="AK52" s="11">
        <f>+IF(P52=$B52,Pesos!$L$3,0)*IF(COUNTIF($C52:$W52,P52)=1,2,1)</f>
        <v>0.85</v>
      </c>
      <c r="AL52" s="11">
        <f>+IF(Q52=$B52,Pesos!$L$3,0)*IF(COUNTIF($C52:$W52,Q52)=1,2,1)</f>
        <v>0.85</v>
      </c>
      <c r="AM52" s="11">
        <f>+IF(R52=$B52,Pesos!$L$3,0)*IF(COUNTIF($C52:$W52,R52)=1,2,1)</f>
        <v>0.85</v>
      </c>
      <c r="AN52" s="11">
        <f>+IF(S52=$B52,Pesos!$L$3,0)*IF(COUNTIF($C52:$W52,S52)=1,2,1)</f>
        <v>0.85</v>
      </c>
      <c r="AO52" s="11">
        <f>+IF(T52=$B52,Pesos!$L$3,0)*IF(COUNTIF($C52:$W52,T52)=1,2,1)</f>
        <v>0.85</v>
      </c>
      <c r="AP52" s="11">
        <f>+IF(U52=$B52,Pesos!$L$3,0)*IF(COUNTIF($C52:$W52,U52)=1,2,1)</f>
        <v>0</v>
      </c>
      <c r="AQ52" s="11">
        <f>+IF(V52=$B52,Pesos!$L$3,0)*IF(COUNTIF($C52:$W52,V52)=1,2,1)</f>
        <v>0</v>
      </c>
      <c r="AR52" s="11">
        <f>+IF(W52=$B52,Pesos!$L$3,0)*IF(COUNTIF($C52:$W52,W52)=1,2,1)</f>
        <v>0.85</v>
      </c>
    </row>
    <row r="53" ht="12.75" customHeight="1">
      <c r="A53" s="1" t="str">
        <f>'1a FASE'!A54</f>
        <v>Machtday 3</v>
      </c>
      <c r="B53" s="8" t="str">
        <f>'1a FASE'!B54</f>
        <v>Athletic Bilbao</v>
      </c>
      <c r="C53" s="10" t="str">
        <f>'1a FASE'!C54</f>
        <v>Athletic Bilbao</v>
      </c>
      <c r="D53" s="10" t="str">
        <f>'1a FASE'!D54</f>
        <v>Athletic Bilbao</v>
      </c>
      <c r="E53" s="10" t="str">
        <f>'1a FASE'!E54</f>
        <v>Athletic Bilbao</v>
      </c>
      <c r="F53" s="10" t="str">
        <f>'1a FASE'!F54</f>
        <v>Athletic Bilbao</v>
      </c>
      <c r="G53" s="10" t="str">
        <f>'1a FASE'!G54</f>
        <v>Athletic Bilbao</v>
      </c>
      <c r="H53" s="10" t="str">
        <f>'1a FASE'!H54</f>
        <v>Athletic Bilbao</v>
      </c>
      <c r="I53" s="10" t="str">
        <f>'1a FASE'!I54</f>
        <v>Athletic Bilbao</v>
      </c>
      <c r="J53" s="10" t="str">
        <f>'1a FASE'!J54</f>
        <v>Athletic Bilbao</v>
      </c>
      <c r="K53" s="10" t="str">
        <f>'1a FASE'!K54</f>
        <v>Athletic Bilbao</v>
      </c>
      <c r="L53" s="10" t="str">
        <f>'1a FASE'!L54</f>
        <v>Athletic Bilbao</v>
      </c>
      <c r="M53" s="10" t="str">
        <f>'1a FASE'!M54</f>
        <v>Athletic Bilbao</v>
      </c>
      <c r="N53" s="10" t="str">
        <f>'1a FASE'!N54</f>
        <v>Athletic Bilbao</v>
      </c>
      <c r="O53" s="10" t="str">
        <f>'1a FASE'!O54</f>
        <v>Athletic Bilbao</v>
      </c>
      <c r="P53" s="10" t="str">
        <f>'1a FASE'!P54</f>
        <v>Athletic Bilbao</v>
      </c>
      <c r="Q53" s="10" t="str">
        <f>'1a FASE'!Q54</f>
        <v>Athletic Bilbao</v>
      </c>
      <c r="R53" s="10" t="str">
        <f>'1a FASE'!R54</f>
        <v>Athletic Bilbao</v>
      </c>
      <c r="S53" s="10" t="str">
        <f>'1a FASE'!S54</f>
        <v>Athletic Bilbao</v>
      </c>
      <c r="T53" s="10" t="str">
        <f>'1a FASE'!T54</f>
        <v>Athletic Bilbao</v>
      </c>
      <c r="U53" s="10" t="str">
        <f>'1a FASE'!U54</f>
        <v>Athletic Bilbao</v>
      </c>
      <c r="V53" s="10" t="str">
        <f>'1a FASE'!V54</f>
        <v>Athletic Bilbao</v>
      </c>
      <c r="W53" s="10" t="str">
        <f>'1a FASE'!W54</f>
        <v>Athletic Bilbao</v>
      </c>
      <c r="X53" s="10">
        <f>+IF(C53=$B53,Pesos!$L$3,0)*IF(COUNTIF($C53:$W53,C53)=1,2,1)</f>
        <v>0.85</v>
      </c>
      <c r="Y53" s="10">
        <f>+IF(D53=$B53,Pesos!$L$3,0)*IF(COUNTIF($C53:$W53,D53)=1,2,1)</f>
        <v>0.85</v>
      </c>
      <c r="Z53" s="10">
        <f>+IF(E53=$B53,Pesos!$L$3,0)*IF(COUNTIF($C53:$W53,E53)=1,2,1)</f>
        <v>0.85</v>
      </c>
      <c r="AA53" s="10">
        <f>+IF(F53=$B53,Pesos!$L$3,0)*IF(COUNTIF($C53:$W53,F53)=1,2,1)</f>
        <v>0.85</v>
      </c>
      <c r="AB53" s="10">
        <f>+IF(G53=$B53,Pesos!$L$3,0)*IF(COUNTIF($C53:$W53,G53)=1,2,1)</f>
        <v>0.85</v>
      </c>
      <c r="AC53" s="10">
        <f>+IF(H53=$B53,Pesos!$L$3,0)*IF(COUNTIF($C53:$W53,H53)=1,2,1)</f>
        <v>0.85</v>
      </c>
      <c r="AD53" s="10">
        <f>+IF(I53=$B53,Pesos!$L$3,0)*IF(COUNTIF($C53:$W53,I53)=1,2,1)</f>
        <v>0.85</v>
      </c>
      <c r="AE53" s="10">
        <f>+IF(J53=$B53,Pesos!$L$3,0)*IF(COUNTIF($C53:$W53,J53)=1,2,1)</f>
        <v>0.85</v>
      </c>
      <c r="AF53" s="10">
        <f>+IF(K53=$B53,Pesos!$L$3,0)*IF(COUNTIF($C53:$W53,K53)=1,2,1)</f>
        <v>0.85</v>
      </c>
      <c r="AG53" s="10">
        <f>+IF(L53=$B53,Pesos!$L$3,0)*IF(COUNTIF($C53:$W53,L53)=1,2,1)</f>
        <v>0.85</v>
      </c>
      <c r="AH53" s="10">
        <f>+IF(M53=$B53,Pesos!$L$3,0)*IF(COUNTIF($C53:$W53,M53)=1,2,1)</f>
        <v>0.85</v>
      </c>
      <c r="AI53" s="10">
        <f>+IF(N53=$B53,Pesos!$L$3,0)*IF(COUNTIF($C53:$W53,N53)=1,2,1)</f>
        <v>0.85</v>
      </c>
      <c r="AJ53" s="10">
        <f>+IF(O53=$B53,Pesos!$L$3,0)*IF(COUNTIF($C53:$W53,O53)=1,2,1)</f>
        <v>0.85</v>
      </c>
      <c r="AK53" s="10">
        <f>+IF(P53=$B53,Pesos!$L$3,0)*IF(COUNTIF($C53:$W53,P53)=1,2,1)</f>
        <v>0.85</v>
      </c>
      <c r="AL53" s="10">
        <f>+IF(Q53=$B53,Pesos!$L$3,0)*IF(COUNTIF($C53:$W53,Q53)=1,2,1)</f>
        <v>0.85</v>
      </c>
      <c r="AM53" s="10">
        <f>+IF(R53=$B53,Pesos!$L$3,0)*IF(COUNTIF($C53:$W53,R53)=1,2,1)</f>
        <v>0.85</v>
      </c>
      <c r="AN53" s="10">
        <f>+IF(S53=$B53,Pesos!$L$3,0)*IF(COUNTIF($C53:$W53,S53)=1,2,1)</f>
        <v>0.85</v>
      </c>
      <c r="AO53" s="10">
        <f>+IF(T53=$B53,Pesos!$L$3,0)*IF(COUNTIF($C53:$W53,T53)=1,2,1)</f>
        <v>0.85</v>
      </c>
      <c r="AP53" s="10">
        <f>+IF(U53=$B53,Pesos!$L$3,0)*IF(COUNTIF($C53:$W53,U53)=1,2,1)</f>
        <v>0.85</v>
      </c>
      <c r="AQ53" s="10">
        <f>+IF(V53=$B53,Pesos!$L$3,0)*IF(COUNTIF($C53:$W53,V53)=1,2,1)</f>
        <v>0.85</v>
      </c>
      <c r="AR53" s="10">
        <f>+IF(W53=$B53,Pesos!$L$3,0)*IF(COUNTIF($C53:$W53,W53)=1,2,1)</f>
        <v>0.85</v>
      </c>
    </row>
    <row r="54" ht="12.75" customHeight="1">
      <c r="A54" s="1" t="str">
        <f>'1a FASE'!A55</f>
        <v>Machtday 3</v>
      </c>
      <c r="B54" s="8" t="str">
        <f>'1a FASE'!B55</f>
        <v>Chelsea</v>
      </c>
      <c r="C54" s="11" t="str">
        <f>'1a FASE'!C55</f>
        <v>Chelsea</v>
      </c>
      <c r="D54" s="11" t="str">
        <f>'1a FASE'!D55</f>
        <v>Chelsea</v>
      </c>
      <c r="E54" s="11" t="str">
        <f>'1a FASE'!E55</f>
        <v>Chelsea</v>
      </c>
      <c r="F54" s="11" t="str">
        <f>'1a FASE'!F55</f>
        <v>Chelsea</v>
      </c>
      <c r="G54" s="11" t="str">
        <f>'1a FASE'!G55</f>
        <v>Chelsea</v>
      </c>
      <c r="H54" s="11" t="str">
        <f>'1a FASE'!H55</f>
        <v>Chelsea</v>
      </c>
      <c r="I54" s="11" t="str">
        <f>'1a FASE'!I55</f>
        <v>Chelsea</v>
      </c>
      <c r="J54" s="11" t="str">
        <f>'1a FASE'!J55</f>
        <v>Chelsea</v>
      </c>
      <c r="K54" s="11" t="str">
        <f>'1a FASE'!K55</f>
        <v>Chelsea</v>
      </c>
      <c r="L54" s="11" t="str">
        <f>'1a FASE'!L55</f>
        <v>Chelsea</v>
      </c>
      <c r="M54" s="11" t="str">
        <f>'1a FASE'!M55</f>
        <v>Chelsea</v>
      </c>
      <c r="N54" s="11" t="str">
        <f>'1a FASE'!N55</f>
        <v>Chelsea</v>
      </c>
      <c r="O54" s="11" t="str">
        <f>'1a FASE'!O55</f>
        <v>Chelsea</v>
      </c>
      <c r="P54" s="11" t="str">
        <f>'1a FASE'!P55</f>
        <v>Chelsea</v>
      </c>
      <c r="Q54" s="11" t="str">
        <f>'1a FASE'!Q55</f>
        <v>Chelsea</v>
      </c>
      <c r="R54" s="11" t="str">
        <f>'1a FASE'!R55</f>
        <v>Chelsea</v>
      </c>
      <c r="S54" s="11" t="str">
        <f>'1a FASE'!S55</f>
        <v>Chelsea</v>
      </c>
      <c r="T54" s="11" t="str">
        <f>'1a FASE'!T55</f>
        <v>Chelsea</v>
      </c>
      <c r="U54" s="11" t="str">
        <f>'1a FASE'!U55</f>
        <v>Chelsea</v>
      </c>
      <c r="V54" s="11" t="str">
        <f>'1a FASE'!V55</f>
        <v>Chelsea</v>
      </c>
      <c r="W54" s="11" t="str">
        <f>'1a FASE'!W55</f>
        <v>Chelsea</v>
      </c>
      <c r="X54" s="11">
        <f>+IF(C54=$B54,Pesos!$L$3,0)*IF(COUNTIF($C54:$W54,C54)=1,2,1)</f>
        <v>0.85</v>
      </c>
      <c r="Y54" s="11">
        <f>+IF(D54=$B54,Pesos!$L$3,0)*IF(COUNTIF($C54:$W54,D54)=1,2,1)</f>
        <v>0.85</v>
      </c>
      <c r="Z54" s="11">
        <f>+IF(E54=$B54,Pesos!$L$3,0)*IF(COUNTIF($C54:$W54,E54)=1,2,1)</f>
        <v>0.85</v>
      </c>
      <c r="AA54" s="11">
        <f>+IF(F54=$B54,Pesos!$L$3,0)*IF(COUNTIF($C54:$W54,F54)=1,2,1)</f>
        <v>0.85</v>
      </c>
      <c r="AB54" s="11">
        <f>+IF(G54=$B54,Pesos!$L$3,0)*IF(COUNTIF($C54:$W54,G54)=1,2,1)</f>
        <v>0.85</v>
      </c>
      <c r="AC54" s="11">
        <f>+IF(H54=$B54,Pesos!$L$3,0)*IF(COUNTIF($C54:$W54,H54)=1,2,1)</f>
        <v>0.85</v>
      </c>
      <c r="AD54" s="11">
        <f>+IF(I54=$B54,Pesos!$L$3,0)*IF(COUNTIF($C54:$W54,I54)=1,2,1)</f>
        <v>0.85</v>
      </c>
      <c r="AE54" s="11">
        <f>+IF(J54=$B54,Pesos!$L$3,0)*IF(COUNTIF($C54:$W54,J54)=1,2,1)</f>
        <v>0.85</v>
      </c>
      <c r="AF54" s="11">
        <f>+IF(K54=$B54,Pesos!$L$3,0)*IF(COUNTIF($C54:$W54,K54)=1,2,1)</f>
        <v>0.85</v>
      </c>
      <c r="AG54" s="11">
        <f>+IF(L54=$B54,Pesos!$L$3,0)*IF(COUNTIF($C54:$W54,L54)=1,2,1)</f>
        <v>0.85</v>
      </c>
      <c r="AH54" s="11">
        <f>+IF(M54=$B54,Pesos!$L$3,0)*IF(COUNTIF($C54:$W54,M54)=1,2,1)</f>
        <v>0.85</v>
      </c>
      <c r="AI54" s="11">
        <f>+IF(N54=$B54,Pesos!$L$3,0)*IF(COUNTIF($C54:$W54,N54)=1,2,1)</f>
        <v>0.85</v>
      </c>
      <c r="AJ54" s="11">
        <f>+IF(O54=$B54,Pesos!$L$3,0)*IF(COUNTIF($C54:$W54,O54)=1,2,1)</f>
        <v>0.85</v>
      </c>
      <c r="AK54" s="11">
        <f>+IF(P54=$B54,Pesos!$L$3,0)*IF(COUNTIF($C54:$W54,P54)=1,2,1)</f>
        <v>0.85</v>
      </c>
      <c r="AL54" s="11">
        <f>+IF(Q54=$B54,Pesos!$L$3,0)*IF(COUNTIF($C54:$W54,Q54)=1,2,1)</f>
        <v>0.85</v>
      </c>
      <c r="AM54" s="11">
        <f>+IF(R54=$B54,Pesos!$L$3,0)*IF(COUNTIF($C54:$W54,R54)=1,2,1)</f>
        <v>0.85</v>
      </c>
      <c r="AN54" s="11">
        <f>+IF(S54=$B54,Pesos!$L$3,0)*IF(COUNTIF($C54:$W54,S54)=1,2,1)</f>
        <v>0.85</v>
      </c>
      <c r="AO54" s="11">
        <f>+IF(T54=$B54,Pesos!$L$3,0)*IF(COUNTIF($C54:$W54,T54)=1,2,1)</f>
        <v>0.85</v>
      </c>
      <c r="AP54" s="11">
        <f>+IF(U54=$B54,Pesos!$L$3,0)*IF(COUNTIF($C54:$W54,U54)=1,2,1)</f>
        <v>0.85</v>
      </c>
      <c r="AQ54" s="11">
        <f>+IF(V54=$B54,Pesos!$L$3,0)*IF(COUNTIF($C54:$W54,V54)=1,2,1)</f>
        <v>0.85</v>
      </c>
      <c r="AR54" s="11">
        <f>+IF(W54=$B54,Pesos!$L$3,0)*IF(COUNTIF($C54:$W54,W54)=1,2,1)</f>
        <v>0.85</v>
      </c>
    </row>
    <row r="55" ht="12.75" customHeight="1">
      <c r="A55" s="1" t="str">
        <f>'1a FASE'!A56</f>
        <v>Machtday 3</v>
      </c>
      <c r="B55" s="8" t="str">
        <f>'1a FASE'!B56</f>
        <v>Empate</v>
      </c>
      <c r="C55" s="10" t="str">
        <f>'1a FASE'!C56</f>
        <v>Atalanta</v>
      </c>
      <c r="D55" s="10" t="str">
        <f>'1a FASE'!D56</f>
        <v>Atalanta</v>
      </c>
      <c r="E55" s="10" t="str">
        <f>'1a FASE'!E56</f>
        <v>Atalanta</v>
      </c>
      <c r="F55" s="10" t="str">
        <f>'1a FASE'!F56</f>
        <v>Atalanta</v>
      </c>
      <c r="G55" s="10" t="str">
        <f>'1a FASE'!G56</f>
        <v>Atalanta</v>
      </c>
      <c r="H55" s="10" t="str">
        <f>'1a FASE'!H56</f>
        <v>Atalanta</v>
      </c>
      <c r="I55" s="10" t="str">
        <f>'1a FASE'!I56</f>
        <v>Atalanta</v>
      </c>
      <c r="J55" s="10" t="str">
        <f>'1a FASE'!J56</f>
        <v>Atalanta</v>
      </c>
      <c r="K55" s="10" t="str">
        <f>'1a FASE'!K56</f>
        <v>Atalanta</v>
      </c>
      <c r="L55" s="10" t="str">
        <f>'1a FASE'!L56</f>
        <v>Atalanta</v>
      </c>
      <c r="M55" s="10" t="str">
        <f>'1a FASE'!M56</f>
        <v>Atalanta</v>
      </c>
      <c r="N55" s="10" t="str">
        <f>'1a FASE'!N56</f>
        <v>Atalanta</v>
      </c>
      <c r="O55" s="10" t="str">
        <f>'1a FASE'!O56</f>
        <v>Empate</v>
      </c>
      <c r="P55" s="10" t="str">
        <f>'1a FASE'!P56</f>
        <v>Atalanta</v>
      </c>
      <c r="Q55" s="10" t="str">
        <f>'1a FASE'!Q56</f>
        <v>Atalanta</v>
      </c>
      <c r="R55" s="10" t="str">
        <f>'1a FASE'!R56</f>
        <v>Atalanta</v>
      </c>
      <c r="S55" s="10" t="str">
        <f>'1a FASE'!S56</f>
        <v>Atalanta</v>
      </c>
      <c r="T55" s="10" t="str">
        <f>'1a FASE'!T56</f>
        <v>Atalanta</v>
      </c>
      <c r="U55" s="10" t="str">
        <f>'1a FASE'!U56</f>
        <v>Atalanta</v>
      </c>
      <c r="V55" s="10" t="str">
        <f>'1a FASE'!V56</f>
        <v>Slavia Praga</v>
      </c>
      <c r="W55" s="10" t="str">
        <f>'1a FASE'!W56</f>
        <v>Atalanta</v>
      </c>
      <c r="X55" s="10">
        <f>+IF(C55=$B55,Pesos!$L$3,0)*IF(COUNTIF($C55:$W55,C55)=1,2,1)</f>
        <v>0</v>
      </c>
      <c r="Y55" s="10">
        <f>+IF(D55=$B55,Pesos!$L$3,0)*IF(COUNTIF($C55:$W55,D55)=1,2,1)</f>
        <v>0</v>
      </c>
      <c r="Z55" s="10">
        <f>+IF(E55=$B55,Pesos!$L$3,0)*IF(COUNTIF($C55:$W55,E55)=1,2,1)</f>
        <v>0</v>
      </c>
      <c r="AA55" s="10">
        <f>+IF(F55=$B55,Pesos!$L$3,0)*IF(COUNTIF($C55:$W55,F55)=1,2,1)</f>
        <v>0</v>
      </c>
      <c r="AB55" s="10">
        <f>+IF(G55=$B55,Pesos!$L$3,0)*IF(COUNTIF($C55:$W55,G55)=1,2,1)</f>
        <v>0</v>
      </c>
      <c r="AC55" s="10">
        <f>+IF(H55=$B55,Pesos!$L$3,0)*IF(COUNTIF($C55:$W55,H55)=1,2,1)</f>
        <v>0</v>
      </c>
      <c r="AD55" s="10">
        <f>+IF(I55=$B55,Pesos!$L$3,0)*IF(COUNTIF($C55:$W55,I55)=1,2,1)</f>
        <v>0</v>
      </c>
      <c r="AE55" s="10">
        <f>+IF(J55=$B55,Pesos!$L$3,0)*IF(COUNTIF($C55:$W55,J55)=1,2,1)</f>
        <v>0</v>
      </c>
      <c r="AF55" s="10">
        <f>+IF(K55=$B55,Pesos!$L$3,0)*IF(COUNTIF($C55:$W55,K55)=1,2,1)</f>
        <v>0</v>
      </c>
      <c r="AG55" s="10">
        <f>+IF(L55=$B55,Pesos!$L$3,0)*IF(COUNTIF($C55:$W55,L55)=1,2,1)</f>
        <v>0</v>
      </c>
      <c r="AH55" s="10">
        <f>+IF(M55=$B55,Pesos!$L$3,0)*IF(COUNTIF($C55:$W55,M55)=1,2,1)</f>
        <v>0</v>
      </c>
      <c r="AI55" s="10">
        <f>+IF(N55=$B55,Pesos!$L$3,0)*IF(COUNTIF($C55:$W55,N55)=1,2,1)</f>
        <v>0</v>
      </c>
      <c r="AJ55" s="10">
        <f>+IF(O55=$B55,Pesos!$L$3,0)*IF(COUNTIF($C55:$W55,O55)=1,2,1)</f>
        <v>1.7</v>
      </c>
      <c r="AK55" s="10">
        <f>+IF(P55=$B55,Pesos!$L$3,0)*IF(COUNTIF($C55:$W55,P55)=1,2,1)</f>
        <v>0</v>
      </c>
      <c r="AL55" s="10">
        <f>+IF(Q55=$B55,Pesos!$L$3,0)*IF(COUNTIF($C55:$W55,Q55)=1,2,1)</f>
        <v>0</v>
      </c>
      <c r="AM55" s="10">
        <f>+IF(R55=$B55,Pesos!$L$3,0)*IF(COUNTIF($C55:$W55,R55)=1,2,1)</f>
        <v>0</v>
      </c>
      <c r="AN55" s="10">
        <f>+IF(S55=$B55,Pesos!$L$3,0)*IF(COUNTIF($C55:$W55,S55)=1,2,1)</f>
        <v>0</v>
      </c>
      <c r="AO55" s="10">
        <f>+IF(T55=$B55,Pesos!$L$3,0)*IF(COUNTIF($C55:$W55,T55)=1,2,1)</f>
        <v>0</v>
      </c>
      <c r="AP55" s="10">
        <f>+IF(U55=$B55,Pesos!$L$3,0)*IF(COUNTIF($C55:$W55,U55)=1,2,1)</f>
        <v>0</v>
      </c>
      <c r="AQ55" s="10">
        <f>+IF(V55=$B55,Pesos!$L$3,0)*IF(COUNTIF($C55:$W55,V55)=1,2,1)</f>
        <v>0</v>
      </c>
      <c r="AR55" s="10">
        <f>+IF(W55=$B55,Pesos!$L$3,0)*IF(COUNTIF($C55:$W55,W55)=1,2,1)</f>
        <v>0</v>
      </c>
    </row>
    <row r="56" ht="12.75" customHeight="1">
      <c r="A56" s="1" t="str">
        <f>'1a FASE'!A57</f>
        <v>Machtday 3</v>
      </c>
      <c r="B56" s="8" t="str">
        <f>'1a FASE'!B57</f>
        <v>Liverpool</v>
      </c>
      <c r="C56" s="11" t="str">
        <f>'1a FASE'!C57</f>
        <v>Liverpool</v>
      </c>
      <c r="D56" s="11" t="str">
        <f>'1a FASE'!D57</f>
        <v>Empate</v>
      </c>
      <c r="E56" s="11" t="str">
        <f>'1a FASE'!E57</f>
        <v>Liverpool</v>
      </c>
      <c r="F56" s="11" t="str">
        <f>'1a FASE'!F57</f>
        <v>Liverpool</v>
      </c>
      <c r="G56" s="11" t="str">
        <f>'1a FASE'!G57</f>
        <v>Liverpool</v>
      </c>
      <c r="H56" s="11" t="str">
        <f>'1a FASE'!H57</f>
        <v>Liverpool</v>
      </c>
      <c r="I56" s="11" t="str">
        <f>'1a FASE'!I57</f>
        <v>Liverpool</v>
      </c>
      <c r="J56" s="11" t="str">
        <f>'1a FASE'!J57</f>
        <v>Liverpool</v>
      </c>
      <c r="K56" s="11" t="str">
        <f>'1a FASE'!K57</f>
        <v>Liverpool</v>
      </c>
      <c r="L56" s="11" t="str">
        <f>'1a FASE'!L57</f>
        <v>Empate</v>
      </c>
      <c r="M56" s="11" t="str">
        <f>'1a FASE'!M57</f>
        <v>Liverpool</v>
      </c>
      <c r="N56" s="11" t="str">
        <f>'1a FASE'!N57</f>
        <v>Liverpool</v>
      </c>
      <c r="O56" s="11" t="str">
        <f>'1a FASE'!O57</f>
        <v>Liverpool</v>
      </c>
      <c r="P56" s="11" t="str">
        <f>'1a FASE'!P57</f>
        <v>Liverpool</v>
      </c>
      <c r="Q56" s="11" t="str">
        <f>'1a FASE'!Q57</f>
        <v>Empate</v>
      </c>
      <c r="R56" s="11" t="str">
        <f>'1a FASE'!R57</f>
        <v>Liverpool</v>
      </c>
      <c r="S56" s="11" t="str">
        <f>'1a FASE'!S57</f>
        <v>Liverpool</v>
      </c>
      <c r="T56" s="11" t="str">
        <f>'1a FASE'!T57</f>
        <v>Eintracht Frankfurt</v>
      </c>
      <c r="U56" s="11" t="str">
        <f>'1a FASE'!U57</f>
        <v>Liverpool</v>
      </c>
      <c r="V56" s="11" t="str">
        <f>'1a FASE'!V57</f>
        <v>Liverpool</v>
      </c>
      <c r="W56" s="11" t="str">
        <f>'1a FASE'!W57</f>
        <v>Liverpool</v>
      </c>
      <c r="X56" s="11">
        <f>+IF(C56=$B56,Pesos!$L$3,0)*IF(COUNTIF($C56:$W56,C56)=1,2,1)</f>
        <v>0.85</v>
      </c>
      <c r="Y56" s="11">
        <f>+IF(D56=$B56,Pesos!$L$3,0)*IF(COUNTIF($C56:$W56,D56)=1,2,1)</f>
        <v>0</v>
      </c>
      <c r="Z56" s="11">
        <f>+IF(E56=$B56,Pesos!$L$3,0)*IF(COUNTIF($C56:$W56,E56)=1,2,1)</f>
        <v>0.85</v>
      </c>
      <c r="AA56" s="11">
        <f>+IF(F56=$B56,Pesos!$L$3,0)*IF(COUNTIF($C56:$W56,F56)=1,2,1)</f>
        <v>0.85</v>
      </c>
      <c r="AB56" s="11">
        <f>+IF(G56=$B56,Pesos!$L$3,0)*IF(COUNTIF($C56:$W56,G56)=1,2,1)</f>
        <v>0.85</v>
      </c>
      <c r="AC56" s="11">
        <f>+IF(H56=$B56,Pesos!$L$3,0)*IF(COUNTIF($C56:$W56,H56)=1,2,1)</f>
        <v>0.85</v>
      </c>
      <c r="AD56" s="11">
        <f>+IF(I56=$B56,Pesos!$L$3,0)*IF(COUNTIF($C56:$W56,I56)=1,2,1)</f>
        <v>0.85</v>
      </c>
      <c r="AE56" s="11">
        <f>+IF(J56=$B56,Pesos!$L$3,0)*IF(COUNTIF($C56:$W56,J56)=1,2,1)</f>
        <v>0.85</v>
      </c>
      <c r="AF56" s="11">
        <f>+IF(K56=$B56,Pesos!$L$3,0)*IF(COUNTIF($C56:$W56,K56)=1,2,1)</f>
        <v>0.85</v>
      </c>
      <c r="AG56" s="11">
        <f>+IF(L56=$B56,Pesos!$L$3,0)*IF(COUNTIF($C56:$W56,L56)=1,2,1)</f>
        <v>0</v>
      </c>
      <c r="AH56" s="11">
        <f>+IF(M56=$B56,Pesos!$L$3,0)*IF(COUNTIF($C56:$W56,M56)=1,2,1)</f>
        <v>0.85</v>
      </c>
      <c r="AI56" s="11">
        <f>+IF(N56=$B56,Pesos!$L$3,0)*IF(COUNTIF($C56:$W56,N56)=1,2,1)</f>
        <v>0.85</v>
      </c>
      <c r="AJ56" s="11">
        <f>+IF(O56=$B56,Pesos!$L$3,0)*IF(COUNTIF($C56:$W56,O56)=1,2,1)</f>
        <v>0.85</v>
      </c>
      <c r="AK56" s="11">
        <f>+IF(P56=$B56,Pesos!$L$3,0)*IF(COUNTIF($C56:$W56,P56)=1,2,1)</f>
        <v>0.85</v>
      </c>
      <c r="AL56" s="11">
        <f>+IF(Q56=$B56,Pesos!$L$3,0)*IF(COUNTIF($C56:$W56,Q56)=1,2,1)</f>
        <v>0</v>
      </c>
      <c r="AM56" s="11">
        <f>+IF(R56=$B56,Pesos!$L$3,0)*IF(COUNTIF($C56:$W56,R56)=1,2,1)</f>
        <v>0.85</v>
      </c>
      <c r="AN56" s="11">
        <f>+IF(S56=$B56,Pesos!$L$3,0)*IF(COUNTIF($C56:$W56,S56)=1,2,1)</f>
        <v>0.85</v>
      </c>
      <c r="AO56" s="11">
        <f>+IF(T56=$B56,Pesos!$L$3,0)*IF(COUNTIF($C56:$W56,T56)=1,2,1)</f>
        <v>0</v>
      </c>
      <c r="AP56" s="11">
        <f>+IF(U56=$B56,Pesos!$L$3,0)*IF(COUNTIF($C56:$W56,U56)=1,2,1)</f>
        <v>0.85</v>
      </c>
      <c r="AQ56" s="11">
        <f>+IF(V56=$B56,Pesos!$L$3,0)*IF(COUNTIF($C56:$W56,V56)=1,2,1)</f>
        <v>0.85</v>
      </c>
      <c r="AR56" s="11">
        <f>+IF(W56=$B56,Pesos!$L$3,0)*IF(COUNTIF($C56:$W56,W56)=1,2,1)</f>
        <v>0.85</v>
      </c>
    </row>
    <row r="57" ht="12.75" customHeight="1">
      <c r="A57" s="1" t="str">
        <f>'1a FASE'!A58</f>
        <v>Machtday 3</v>
      </c>
      <c r="B57" s="8" t="str">
        <f>'1a FASE'!B58</f>
        <v>Sporting</v>
      </c>
      <c r="C57" s="10" t="str">
        <f>'1a FASE'!C58</f>
        <v>Empate</v>
      </c>
      <c r="D57" s="10" t="str">
        <f>'1a FASE'!D58</f>
        <v>Sporting</v>
      </c>
      <c r="E57" s="10" t="str">
        <f>'1a FASE'!E58</f>
        <v>Sporting</v>
      </c>
      <c r="F57" s="10" t="str">
        <f>'1a FASE'!F58</f>
        <v>Sporting</v>
      </c>
      <c r="G57" s="10" t="str">
        <f>'1a FASE'!G58</f>
        <v>Empate</v>
      </c>
      <c r="H57" s="10" t="str">
        <f>'1a FASE'!H58</f>
        <v>Sporting</v>
      </c>
      <c r="I57" s="10" t="str">
        <f>'1a FASE'!I58</f>
        <v>Olympique de Marselha</v>
      </c>
      <c r="J57" s="10" t="str">
        <f>'1a FASE'!J58</f>
        <v>Sporting</v>
      </c>
      <c r="K57" s="10" t="str">
        <f>'1a FASE'!K58</f>
        <v>Olympique de Marselha</v>
      </c>
      <c r="L57" s="10" t="str">
        <f>'1a FASE'!L58</f>
        <v>Sporting</v>
      </c>
      <c r="M57" s="10" t="str">
        <f>'1a FASE'!M58</f>
        <v>Sporting</v>
      </c>
      <c r="N57" s="10" t="str">
        <f>'1a FASE'!N58</f>
        <v>Sporting</v>
      </c>
      <c r="O57" s="10" t="str">
        <f>'1a FASE'!O58</f>
        <v>Olympique de Marselha</v>
      </c>
      <c r="P57" s="10" t="str">
        <f>'1a FASE'!P58</f>
        <v>Empate</v>
      </c>
      <c r="Q57" s="10" t="str">
        <f>'1a FASE'!Q58</f>
        <v>Sporting</v>
      </c>
      <c r="R57" s="10" t="str">
        <f>'1a FASE'!R58</f>
        <v>Sporting</v>
      </c>
      <c r="S57" s="10" t="str">
        <f>'1a FASE'!S58</f>
        <v>Olympique de Marselha</v>
      </c>
      <c r="T57" s="10" t="str">
        <f>'1a FASE'!T58</f>
        <v>Sporting</v>
      </c>
      <c r="U57" s="10" t="str">
        <f>'1a FASE'!U58</f>
        <v>Sporting</v>
      </c>
      <c r="V57" s="10" t="str">
        <f>'1a FASE'!V58</f>
        <v>Sporting</v>
      </c>
      <c r="W57" s="10" t="str">
        <f>'1a FASE'!W58</f>
        <v>Empate</v>
      </c>
      <c r="X57" s="10">
        <f>+IF(C57=$B57,Pesos!$L$3,0)*IF(COUNTIF($C57:$W57,C57)=1,2,1)</f>
        <v>0</v>
      </c>
      <c r="Y57" s="10">
        <f>+IF(D57=$B57,Pesos!$L$3,0)*IF(COUNTIF($C57:$W57,D57)=1,2,1)</f>
        <v>0.85</v>
      </c>
      <c r="Z57" s="10">
        <f>+IF(E57=$B57,Pesos!$L$3,0)*IF(COUNTIF($C57:$W57,E57)=1,2,1)</f>
        <v>0.85</v>
      </c>
      <c r="AA57" s="10">
        <f>+IF(F57=$B57,Pesos!$L$3,0)*IF(COUNTIF($C57:$W57,F57)=1,2,1)</f>
        <v>0.85</v>
      </c>
      <c r="AB57" s="10">
        <f>+IF(G57=$B57,Pesos!$L$3,0)*IF(COUNTIF($C57:$W57,G57)=1,2,1)</f>
        <v>0</v>
      </c>
      <c r="AC57" s="10">
        <f>+IF(H57=$B57,Pesos!$L$3,0)*IF(COUNTIF($C57:$W57,H57)=1,2,1)</f>
        <v>0.85</v>
      </c>
      <c r="AD57" s="10">
        <f>+IF(I57=$B57,Pesos!$L$3,0)*IF(COUNTIF($C57:$W57,I57)=1,2,1)</f>
        <v>0</v>
      </c>
      <c r="AE57" s="10">
        <f>+IF(J57=$B57,Pesos!$L$3,0)*IF(COUNTIF($C57:$W57,J57)=1,2,1)</f>
        <v>0.85</v>
      </c>
      <c r="AF57" s="10">
        <f>+IF(K57=$B57,Pesos!$L$3,0)*IF(COUNTIF($C57:$W57,K57)=1,2,1)</f>
        <v>0</v>
      </c>
      <c r="AG57" s="10">
        <f>+IF(L57=$B57,Pesos!$L$3,0)*IF(COUNTIF($C57:$W57,L57)=1,2,1)</f>
        <v>0.85</v>
      </c>
      <c r="AH57" s="10">
        <f>+IF(M57=$B57,Pesos!$L$3,0)*IF(COUNTIF($C57:$W57,M57)=1,2,1)</f>
        <v>0.85</v>
      </c>
      <c r="AI57" s="10">
        <f>+IF(N57=$B57,Pesos!$L$3,0)*IF(COUNTIF($C57:$W57,N57)=1,2,1)</f>
        <v>0.85</v>
      </c>
      <c r="AJ57" s="10">
        <f>+IF(O57=$B57,Pesos!$L$3,0)*IF(COUNTIF($C57:$W57,O57)=1,2,1)</f>
        <v>0</v>
      </c>
      <c r="AK57" s="10">
        <f>+IF(P57=$B57,Pesos!$L$3,0)*IF(COUNTIF($C57:$W57,P57)=1,2,1)</f>
        <v>0</v>
      </c>
      <c r="AL57" s="10">
        <f>+IF(Q57=$B57,Pesos!$L$3,0)*IF(COUNTIF($C57:$W57,Q57)=1,2,1)</f>
        <v>0.85</v>
      </c>
      <c r="AM57" s="10">
        <f>+IF(R57=$B57,Pesos!$L$3,0)*IF(COUNTIF($C57:$W57,R57)=1,2,1)</f>
        <v>0.85</v>
      </c>
      <c r="AN57" s="10">
        <f>+IF(S57=$B57,Pesos!$L$3,0)*IF(COUNTIF($C57:$W57,S57)=1,2,1)</f>
        <v>0</v>
      </c>
      <c r="AO57" s="10">
        <f>+IF(T57=$B57,Pesos!$L$3,0)*IF(COUNTIF($C57:$W57,T57)=1,2,1)</f>
        <v>0.85</v>
      </c>
      <c r="AP57" s="10">
        <f>+IF(U57=$B57,Pesos!$L$3,0)*IF(COUNTIF($C57:$W57,U57)=1,2,1)</f>
        <v>0.85</v>
      </c>
      <c r="AQ57" s="10">
        <f>+IF(V57=$B57,Pesos!$L$3,0)*IF(COUNTIF($C57:$W57,V57)=1,2,1)</f>
        <v>0.85</v>
      </c>
      <c r="AR57" s="10">
        <f>+IF(W57=$B57,Pesos!$L$3,0)*IF(COUNTIF($C57:$W57,W57)=1,2,1)</f>
        <v>0</v>
      </c>
    </row>
    <row r="58" ht="12.75" customHeight="1">
      <c r="A58" s="1" t="str">
        <f>'1a FASE'!A59</f>
        <v>Machtday 3</v>
      </c>
      <c r="B58" s="8" t="str">
        <f>'1a FASE'!B59</f>
        <v>Empate</v>
      </c>
      <c r="C58" s="11" t="str">
        <f>'1a FASE'!C59</f>
        <v>Monaco</v>
      </c>
      <c r="D58" s="11" t="str">
        <f>'1a FASE'!D59</f>
        <v>Tottenham</v>
      </c>
      <c r="E58" s="11" t="str">
        <f>'1a FASE'!E59</f>
        <v>Tottenham</v>
      </c>
      <c r="F58" s="11" t="str">
        <f>'1a FASE'!F59</f>
        <v>Tottenham</v>
      </c>
      <c r="G58" s="11" t="str">
        <f>'1a FASE'!G59</f>
        <v>Tottenham</v>
      </c>
      <c r="H58" s="11" t="str">
        <f>'1a FASE'!H59</f>
        <v>Tottenham</v>
      </c>
      <c r="I58" s="11" t="str">
        <f>'1a FASE'!I59</f>
        <v>Tottenham</v>
      </c>
      <c r="J58" s="11" t="str">
        <f>'1a FASE'!J59</f>
        <v>Monaco</v>
      </c>
      <c r="K58" s="11" t="str">
        <f>'1a FASE'!K59</f>
        <v>Tottenham</v>
      </c>
      <c r="L58" s="11" t="str">
        <f>'1a FASE'!L59</f>
        <v>Empate</v>
      </c>
      <c r="M58" s="11" t="str">
        <f>'1a FASE'!M59</f>
        <v>Monaco</v>
      </c>
      <c r="N58" s="11" t="str">
        <f>'1a FASE'!N59</f>
        <v>Tottenham</v>
      </c>
      <c r="O58" s="11" t="str">
        <f>'1a FASE'!O59</f>
        <v>Empate</v>
      </c>
      <c r="P58" s="11" t="str">
        <f>'1a FASE'!P59</f>
        <v>Tottenham</v>
      </c>
      <c r="Q58" s="11" t="str">
        <f>'1a FASE'!Q59</f>
        <v>Tottenham</v>
      </c>
      <c r="R58" s="11" t="str">
        <f>'1a FASE'!R59</f>
        <v>Tottenham</v>
      </c>
      <c r="S58" s="11" t="str">
        <f>'1a FASE'!S59</f>
        <v>Tottenham</v>
      </c>
      <c r="T58" s="11" t="str">
        <f>'1a FASE'!T59</f>
        <v>Monaco</v>
      </c>
      <c r="U58" s="11" t="str">
        <f>'1a FASE'!U59</f>
        <v>Monaco</v>
      </c>
      <c r="V58" s="11" t="str">
        <f>'1a FASE'!V59</f>
        <v>Tottenham</v>
      </c>
      <c r="W58" s="11" t="str">
        <f>'1a FASE'!W59</f>
        <v>Tottenham</v>
      </c>
      <c r="X58" s="11">
        <f>+IF(C58=$B58,Pesos!$L$3,0)*IF(COUNTIF($C58:$W58,C58)=1,2,1)</f>
        <v>0</v>
      </c>
      <c r="Y58" s="11">
        <f>+IF(D58=$B58,Pesos!$L$3,0)*IF(COUNTIF($C58:$W58,D58)=1,2,1)</f>
        <v>0</v>
      </c>
      <c r="Z58" s="11">
        <f>+IF(E58=$B58,Pesos!$L$3,0)*IF(COUNTIF($C58:$W58,E58)=1,2,1)</f>
        <v>0</v>
      </c>
      <c r="AA58" s="11">
        <f>+IF(F58=$B58,Pesos!$L$3,0)*IF(COUNTIF($C58:$W58,F58)=1,2,1)</f>
        <v>0</v>
      </c>
      <c r="AB58" s="11">
        <f>+IF(G58=$B58,Pesos!$L$3,0)*IF(COUNTIF($C58:$W58,G58)=1,2,1)</f>
        <v>0</v>
      </c>
      <c r="AC58" s="11">
        <f>+IF(H58=$B58,Pesos!$L$3,0)*IF(COUNTIF($C58:$W58,H58)=1,2,1)</f>
        <v>0</v>
      </c>
      <c r="AD58" s="11">
        <f>+IF(I58=$B58,Pesos!$L$3,0)*IF(COUNTIF($C58:$W58,I58)=1,2,1)</f>
        <v>0</v>
      </c>
      <c r="AE58" s="11">
        <f>+IF(J58=$B58,Pesos!$L$3,0)*IF(COUNTIF($C58:$W58,J58)=1,2,1)</f>
        <v>0</v>
      </c>
      <c r="AF58" s="11">
        <f>+IF(K58=$B58,Pesos!$L$3,0)*IF(COUNTIF($C58:$W58,K58)=1,2,1)</f>
        <v>0</v>
      </c>
      <c r="AG58" s="11">
        <f>+IF(L58=$B58,Pesos!$L$3,0)*IF(COUNTIF($C58:$W58,L58)=1,2,1)</f>
        <v>0.85</v>
      </c>
      <c r="AH58" s="11">
        <f>+IF(M58=$B58,Pesos!$L$3,0)*IF(COUNTIF($C58:$W58,M58)=1,2,1)</f>
        <v>0</v>
      </c>
      <c r="AI58" s="11">
        <f>+IF(N58=$B58,Pesos!$L$3,0)*IF(COUNTIF($C58:$W58,N58)=1,2,1)</f>
        <v>0</v>
      </c>
      <c r="AJ58" s="11">
        <f>+IF(O58=$B58,Pesos!$L$3,0)*IF(COUNTIF($C58:$W58,O58)=1,2,1)</f>
        <v>0.85</v>
      </c>
      <c r="AK58" s="11">
        <f>+IF(P58=$B58,Pesos!$L$3,0)*IF(COUNTIF($C58:$W58,P58)=1,2,1)</f>
        <v>0</v>
      </c>
      <c r="AL58" s="11">
        <f>+IF(Q58=$B58,Pesos!$L$3,0)*IF(COUNTIF($C58:$W58,Q58)=1,2,1)</f>
        <v>0</v>
      </c>
      <c r="AM58" s="11">
        <f>+IF(R58=$B58,Pesos!$L$3,0)*IF(COUNTIF($C58:$W58,R58)=1,2,1)</f>
        <v>0</v>
      </c>
      <c r="AN58" s="11">
        <f>+IF(S58=$B58,Pesos!$L$3,0)*IF(COUNTIF($C58:$W58,S58)=1,2,1)</f>
        <v>0</v>
      </c>
      <c r="AO58" s="11">
        <f>+IF(T58=$B58,Pesos!$L$3,0)*IF(COUNTIF($C58:$W58,T58)=1,2,1)</f>
        <v>0</v>
      </c>
      <c r="AP58" s="11">
        <f>+IF(U58=$B58,Pesos!$L$3,0)*IF(COUNTIF($C58:$W58,U58)=1,2,1)</f>
        <v>0</v>
      </c>
      <c r="AQ58" s="11">
        <f>+IF(V58=$B58,Pesos!$L$3,0)*IF(COUNTIF($C58:$W58,V58)=1,2,1)</f>
        <v>0</v>
      </c>
      <c r="AR58" s="11">
        <f>+IF(W58=$B58,Pesos!$L$3,0)*IF(COUNTIF($C58:$W58,W58)=1,2,1)</f>
        <v>0</v>
      </c>
    </row>
    <row r="59" ht="12.75" customHeight="1">
      <c r="A59" s="1" t="str">
        <f>'1a FASE'!A60</f>
        <v>Machtday 3</v>
      </c>
      <c r="B59" s="8" t="str">
        <f>'1a FASE'!B60</f>
        <v>Real Madrid</v>
      </c>
      <c r="C59" s="10" t="str">
        <f>'1a FASE'!C60</f>
        <v>Real Madrid</v>
      </c>
      <c r="D59" s="10" t="str">
        <f>'1a FASE'!D60</f>
        <v>Real Madrid</v>
      </c>
      <c r="E59" s="10" t="str">
        <f>'1a FASE'!E60</f>
        <v>Real Madrid</v>
      </c>
      <c r="F59" s="10" t="str">
        <f>'1a FASE'!F60</f>
        <v>Real Madrid</v>
      </c>
      <c r="G59" s="10" t="str">
        <f>'1a FASE'!G60</f>
        <v>Real Madrid</v>
      </c>
      <c r="H59" s="10" t="str">
        <f>'1a FASE'!H60</f>
        <v>Real Madrid</v>
      </c>
      <c r="I59" s="10" t="str">
        <f>'1a FASE'!I60</f>
        <v>Real Madrid</v>
      </c>
      <c r="J59" s="10" t="str">
        <f>'1a FASE'!J60</f>
        <v>Real Madrid</v>
      </c>
      <c r="K59" s="10" t="str">
        <f>'1a FASE'!K60</f>
        <v>Real Madrid</v>
      </c>
      <c r="L59" s="10" t="str">
        <f>'1a FASE'!L60</f>
        <v>Empate</v>
      </c>
      <c r="M59" s="10" t="str">
        <f>'1a FASE'!M60</f>
        <v>Empate</v>
      </c>
      <c r="N59" s="10" t="str">
        <f>'1a FASE'!N60</f>
        <v>Real Madrid</v>
      </c>
      <c r="O59" s="10" t="str">
        <f>'1a FASE'!O60</f>
        <v>Real Madrid</v>
      </c>
      <c r="P59" s="10" t="str">
        <f>'1a FASE'!P60</f>
        <v>Real Madrid</v>
      </c>
      <c r="Q59" s="10" t="str">
        <f>'1a FASE'!Q60</f>
        <v>Empate</v>
      </c>
      <c r="R59" s="10" t="str">
        <f>'1a FASE'!R60</f>
        <v>Real Madrid</v>
      </c>
      <c r="S59" s="10" t="str">
        <f>'1a FASE'!S60</f>
        <v>Real Madrid</v>
      </c>
      <c r="T59" s="10" t="str">
        <f>'1a FASE'!T60</f>
        <v>Real Madrid</v>
      </c>
      <c r="U59" s="10" t="str">
        <f>'1a FASE'!U60</f>
        <v>Real Madrid</v>
      </c>
      <c r="V59" s="10" t="str">
        <f>'1a FASE'!V60</f>
        <v>Real Madrid</v>
      </c>
      <c r="W59" s="10" t="str">
        <f>'1a FASE'!W60</f>
        <v>Real Madrid</v>
      </c>
      <c r="X59" s="10">
        <f>+IF(C59=$B59,Pesos!$L$3,0)*IF(COUNTIF($C59:$W59,C59)=1,2,1)</f>
        <v>0.85</v>
      </c>
      <c r="Y59" s="10">
        <f>+IF(D59=$B59,Pesos!$L$3,0)*IF(COUNTIF($C59:$W59,D59)=1,2,1)</f>
        <v>0.85</v>
      </c>
      <c r="Z59" s="10">
        <f>+IF(E59=$B59,Pesos!$L$3,0)*IF(COUNTIF($C59:$W59,E59)=1,2,1)</f>
        <v>0.85</v>
      </c>
      <c r="AA59" s="10">
        <f>+IF(F59=$B59,Pesos!$L$3,0)*IF(COUNTIF($C59:$W59,F59)=1,2,1)</f>
        <v>0.85</v>
      </c>
      <c r="AB59" s="10">
        <f>+IF(G59=$B59,Pesos!$L$3,0)*IF(COUNTIF($C59:$W59,G59)=1,2,1)</f>
        <v>0.85</v>
      </c>
      <c r="AC59" s="10">
        <f>+IF(H59=$B59,Pesos!$L$3,0)*IF(COUNTIF($C59:$W59,H59)=1,2,1)</f>
        <v>0.85</v>
      </c>
      <c r="AD59" s="10">
        <f>+IF(I59=$B59,Pesos!$L$3,0)*IF(COUNTIF($C59:$W59,I59)=1,2,1)</f>
        <v>0.85</v>
      </c>
      <c r="AE59" s="10">
        <f>+IF(J59=$B59,Pesos!$L$3,0)*IF(COUNTIF($C59:$W59,J59)=1,2,1)</f>
        <v>0.85</v>
      </c>
      <c r="AF59" s="10">
        <f>+IF(K59=$B59,Pesos!$L$3,0)*IF(COUNTIF($C59:$W59,K59)=1,2,1)</f>
        <v>0.85</v>
      </c>
      <c r="AG59" s="10">
        <f>+IF(L59=$B59,Pesos!$L$3,0)*IF(COUNTIF($C59:$W59,L59)=1,2,1)</f>
        <v>0</v>
      </c>
      <c r="AH59" s="10">
        <f>+IF(M59=$B59,Pesos!$L$3,0)*IF(COUNTIF($C59:$W59,M59)=1,2,1)</f>
        <v>0</v>
      </c>
      <c r="AI59" s="10">
        <f>+IF(N59=$B59,Pesos!$L$3,0)*IF(COUNTIF($C59:$W59,N59)=1,2,1)</f>
        <v>0.85</v>
      </c>
      <c r="AJ59" s="10">
        <f>+IF(O59=$B59,Pesos!$L$3,0)*IF(COUNTIF($C59:$W59,O59)=1,2,1)</f>
        <v>0.85</v>
      </c>
      <c r="AK59" s="10">
        <f>+IF(P59=$B59,Pesos!$L$3,0)*IF(COUNTIF($C59:$W59,P59)=1,2,1)</f>
        <v>0.85</v>
      </c>
      <c r="AL59" s="10">
        <f>+IF(Q59=$B59,Pesos!$L$3,0)*IF(COUNTIF($C59:$W59,Q59)=1,2,1)</f>
        <v>0</v>
      </c>
      <c r="AM59" s="10">
        <f>+IF(R59=$B59,Pesos!$L$3,0)*IF(COUNTIF($C59:$W59,R59)=1,2,1)</f>
        <v>0.85</v>
      </c>
      <c r="AN59" s="10">
        <f>+IF(S59=$B59,Pesos!$L$3,0)*IF(COUNTIF($C59:$W59,S59)=1,2,1)</f>
        <v>0.85</v>
      </c>
      <c r="AO59" s="10">
        <f>+IF(T59=$B59,Pesos!$L$3,0)*IF(COUNTIF($C59:$W59,T59)=1,2,1)</f>
        <v>0.85</v>
      </c>
      <c r="AP59" s="10">
        <f>+IF(U59=$B59,Pesos!$L$3,0)*IF(COUNTIF($C59:$W59,U59)=1,2,1)</f>
        <v>0.85</v>
      </c>
      <c r="AQ59" s="10">
        <f>+IF(V59=$B59,Pesos!$L$3,0)*IF(COUNTIF($C59:$W59,V59)=1,2,1)</f>
        <v>0.85</v>
      </c>
      <c r="AR59" s="10">
        <f>+IF(W59=$B59,Pesos!$L$3,0)*IF(COUNTIF($C59:$W59,W59)=1,2,1)</f>
        <v>0.85</v>
      </c>
    </row>
    <row r="60" ht="12.75" customHeight="1">
      <c r="A60" s="1" t="str">
        <f>'1a FASE'!A61</f>
        <v>Machtday 3</v>
      </c>
      <c r="B60" s="8" t="str">
        <f>'1a FASE'!B61</f>
        <v>Bayern de Munique</v>
      </c>
      <c r="C60" s="11" t="str">
        <f>'1a FASE'!C61</f>
        <v>Bayern de Munique</v>
      </c>
      <c r="D60" s="11" t="str">
        <f>'1a FASE'!D61</f>
        <v>Bayern de Munique</v>
      </c>
      <c r="E60" s="11" t="str">
        <f>'1a FASE'!E61</f>
        <v>Bayern de Munique</v>
      </c>
      <c r="F60" s="11" t="str">
        <f>'1a FASE'!F61</f>
        <v>Bayern de Munique</v>
      </c>
      <c r="G60" s="11" t="str">
        <f>'1a FASE'!G61</f>
        <v>Bayern de Munique</v>
      </c>
      <c r="H60" s="11" t="str">
        <f>'1a FASE'!H61</f>
        <v>Bayern de Munique</v>
      </c>
      <c r="I60" s="11" t="str">
        <f>'1a FASE'!I61</f>
        <v>Bayern de Munique</v>
      </c>
      <c r="J60" s="11" t="str">
        <f>'1a FASE'!J61</f>
        <v>Bayern de Munique</v>
      </c>
      <c r="K60" s="11" t="str">
        <f>'1a FASE'!K61</f>
        <v>Bayern de Munique</v>
      </c>
      <c r="L60" s="11" t="str">
        <f>'1a FASE'!L61</f>
        <v>Bayern de Munique</v>
      </c>
      <c r="M60" s="11" t="str">
        <f>'1a FASE'!M61</f>
        <v>Bayern de Munique</v>
      </c>
      <c r="N60" s="11" t="str">
        <f>'1a FASE'!N61</f>
        <v>Bayern de Munique</v>
      </c>
      <c r="O60" s="11" t="str">
        <f>'1a FASE'!O61</f>
        <v>Empate</v>
      </c>
      <c r="P60" s="11" t="str">
        <f>'1a FASE'!P61</f>
        <v>Bayern de Munique</v>
      </c>
      <c r="Q60" s="11" t="str">
        <f>'1a FASE'!Q61</f>
        <v>Bayern de Munique</v>
      </c>
      <c r="R60" s="11" t="str">
        <f>'1a FASE'!R61</f>
        <v>Bayern de Munique</v>
      </c>
      <c r="S60" s="11" t="str">
        <f>'1a FASE'!S61</f>
        <v>Bayern de Munique</v>
      </c>
      <c r="T60" s="11" t="str">
        <f>'1a FASE'!T61</f>
        <v>Bayern de Munique</v>
      </c>
      <c r="U60" s="11" t="str">
        <f>'1a FASE'!U61</f>
        <v>Bayern de Munique</v>
      </c>
      <c r="V60" s="11" t="str">
        <f>'1a FASE'!V61</f>
        <v>Bayern de Munique</v>
      </c>
      <c r="W60" s="11" t="str">
        <f>'1a FASE'!W61</f>
        <v>Bayern de Munique</v>
      </c>
      <c r="X60" s="11">
        <f>+IF(C60=$B60,Pesos!$L$3,0)*IF(COUNTIF($C60:$W60,C60)=1,2,1)</f>
        <v>0.85</v>
      </c>
      <c r="Y60" s="11">
        <f>+IF(D60=$B60,Pesos!$L$3,0)*IF(COUNTIF($C60:$W60,D60)=1,2,1)</f>
        <v>0.85</v>
      </c>
      <c r="Z60" s="11">
        <f>+IF(E60=$B60,Pesos!$L$3,0)*IF(COUNTIF($C60:$W60,E60)=1,2,1)</f>
        <v>0.85</v>
      </c>
      <c r="AA60" s="11">
        <f>+IF(F60=$B60,Pesos!$L$3,0)*IF(COUNTIF($C60:$W60,F60)=1,2,1)</f>
        <v>0.85</v>
      </c>
      <c r="AB60" s="11">
        <f>+IF(G60=$B60,Pesos!$L$3,0)*IF(COUNTIF($C60:$W60,G60)=1,2,1)</f>
        <v>0.85</v>
      </c>
      <c r="AC60" s="11">
        <f>+IF(H60=$B60,Pesos!$L$3,0)*IF(COUNTIF($C60:$W60,H60)=1,2,1)</f>
        <v>0.85</v>
      </c>
      <c r="AD60" s="11">
        <f>+IF(I60=$B60,Pesos!$L$3,0)*IF(COUNTIF($C60:$W60,I60)=1,2,1)</f>
        <v>0.85</v>
      </c>
      <c r="AE60" s="11">
        <f>+IF(J60=$B60,Pesos!$L$3,0)*IF(COUNTIF($C60:$W60,J60)=1,2,1)</f>
        <v>0.85</v>
      </c>
      <c r="AF60" s="11">
        <f>+IF(K60=$B60,Pesos!$L$3,0)*IF(COUNTIF($C60:$W60,K60)=1,2,1)</f>
        <v>0.85</v>
      </c>
      <c r="AG60" s="11">
        <f>+IF(L60=$B60,Pesos!$L$3,0)*IF(COUNTIF($C60:$W60,L60)=1,2,1)</f>
        <v>0.85</v>
      </c>
      <c r="AH60" s="11">
        <f>+IF(M60=$B60,Pesos!$L$3,0)*IF(COUNTIF($C60:$W60,M60)=1,2,1)</f>
        <v>0.85</v>
      </c>
      <c r="AI60" s="11">
        <f>+IF(N60=$B60,Pesos!$L$3,0)*IF(COUNTIF($C60:$W60,N60)=1,2,1)</f>
        <v>0.85</v>
      </c>
      <c r="AJ60" s="11">
        <f>+IF(O60=$B60,Pesos!$L$3,0)*IF(COUNTIF($C60:$W60,O60)=1,2,1)</f>
        <v>0</v>
      </c>
      <c r="AK60" s="11">
        <f>+IF(P60=$B60,Pesos!$L$3,0)*IF(COUNTIF($C60:$W60,P60)=1,2,1)</f>
        <v>0.85</v>
      </c>
      <c r="AL60" s="11">
        <f>+IF(Q60=$B60,Pesos!$L$3,0)*IF(COUNTIF($C60:$W60,Q60)=1,2,1)</f>
        <v>0.85</v>
      </c>
      <c r="AM60" s="11">
        <f>+IF(R60=$B60,Pesos!$L$3,0)*IF(COUNTIF($C60:$W60,R60)=1,2,1)</f>
        <v>0.85</v>
      </c>
      <c r="AN60" s="11">
        <f>+IF(S60=$B60,Pesos!$L$3,0)*IF(COUNTIF($C60:$W60,S60)=1,2,1)</f>
        <v>0.85</v>
      </c>
      <c r="AO60" s="11">
        <f>+IF(T60=$B60,Pesos!$L$3,0)*IF(COUNTIF($C60:$W60,T60)=1,2,1)</f>
        <v>0.85</v>
      </c>
      <c r="AP60" s="11">
        <f>+IF(U60=$B60,Pesos!$L$3,0)*IF(COUNTIF($C60:$W60,U60)=1,2,1)</f>
        <v>0.85</v>
      </c>
      <c r="AQ60" s="11">
        <f>+IF(V60=$B60,Pesos!$L$3,0)*IF(COUNTIF($C60:$W60,V60)=1,2,1)</f>
        <v>0.85</v>
      </c>
      <c r="AR60" s="11">
        <f>+IF(W60=$B60,Pesos!$L$3,0)*IF(COUNTIF($C60:$W60,W60)=1,2,1)</f>
        <v>0.85</v>
      </c>
    </row>
    <row r="61" ht="12.75" customHeight="1">
      <c r="A61" s="1" t="str">
        <f>'1a FASE'!A62</f>
        <v>Machtday 4</v>
      </c>
      <c r="B61" s="8" t="str">
        <f>'1a FASE'!B62</f>
        <v>Empate</v>
      </c>
      <c r="C61" s="10" t="str">
        <f>'1a FASE'!C62</f>
        <v>Napoli</v>
      </c>
      <c r="D61" s="10" t="str">
        <f>'1a FASE'!D62</f>
        <v>Napoli</v>
      </c>
      <c r="E61" s="10" t="str">
        <f>'1a FASE'!E62</f>
        <v>Napoli</v>
      </c>
      <c r="F61" s="10" t="str">
        <f>'1a FASE'!F62</f>
        <v>Napoli</v>
      </c>
      <c r="G61" s="10" t="str">
        <f>'1a FASE'!G62</f>
        <v>Napoli</v>
      </c>
      <c r="H61" s="10" t="str">
        <f>'1a FASE'!H62</f>
        <v>Napoli</v>
      </c>
      <c r="I61" s="10" t="str">
        <f>'1a FASE'!I62</f>
        <v>Napoli</v>
      </c>
      <c r="J61" s="10" t="str">
        <f>'1a FASE'!J62</f>
        <v>Napoli</v>
      </c>
      <c r="K61" s="10" t="str">
        <f>'1a FASE'!K62</f>
        <v>Napoli</v>
      </c>
      <c r="L61" s="10" t="str">
        <f>'1a FASE'!L62</f>
        <v>Napoli</v>
      </c>
      <c r="M61" s="10" t="str">
        <f>'1a FASE'!M62</f>
        <v>Napoli</v>
      </c>
      <c r="N61" s="10" t="str">
        <f>'1a FASE'!N62</f>
        <v>Napoli</v>
      </c>
      <c r="O61" s="10" t="str">
        <f>'1a FASE'!O62</f>
        <v>Napoli</v>
      </c>
      <c r="P61" s="10" t="str">
        <f>'1a FASE'!P62</f>
        <v>Napoli</v>
      </c>
      <c r="Q61" s="10" t="str">
        <f>'1a FASE'!Q62</f>
        <v>Napoli</v>
      </c>
      <c r="R61" s="10" t="str">
        <f>'1a FASE'!R62</f>
        <v>Napoli</v>
      </c>
      <c r="S61" s="10" t="str">
        <f>'1a FASE'!S62</f>
        <v>Napoli</v>
      </c>
      <c r="T61" s="10" t="str">
        <f>'1a FASE'!T62</f>
        <v>Napoli</v>
      </c>
      <c r="U61" s="10" t="str">
        <f>'1a FASE'!U62</f>
        <v>Napoli</v>
      </c>
      <c r="V61" s="10" t="str">
        <f>'1a FASE'!V62</f>
        <v>Napoli</v>
      </c>
      <c r="W61" s="10" t="str">
        <f>'1a FASE'!W62</f>
        <v>Napoli</v>
      </c>
      <c r="X61" s="10">
        <f>+IF(C61=$B61,Pesos!$L$3,0)*IF(COUNTIF($C61:$W61,C61)=1,2,1)</f>
        <v>0</v>
      </c>
      <c r="Y61" s="10">
        <f>+IF(D61=$B61,Pesos!$L$3,0)*IF(COUNTIF($C61:$W61,D61)=1,2,1)</f>
        <v>0</v>
      </c>
      <c r="Z61" s="10">
        <f>+IF(E61=$B61,Pesos!$L$3,0)*IF(COUNTIF($C61:$W61,E61)=1,2,1)</f>
        <v>0</v>
      </c>
      <c r="AA61" s="10">
        <f>+IF(F61=$B61,Pesos!$L$3,0)*IF(COUNTIF($C61:$W61,F61)=1,2,1)</f>
        <v>0</v>
      </c>
      <c r="AB61" s="10">
        <f>+IF(G61=$B61,Pesos!$L$3,0)*IF(COUNTIF($C61:$W61,G61)=1,2,1)</f>
        <v>0</v>
      </c>
      <c r="AC61" s="10">
        <f>+IF(H61=$B61,Pesos!$L$3,0)*IF(COUNTIF($C61:$W61,H61)=1,2,1)</f>
        <v>0</v>
      </c>
      <c r="AD61" s="10">
        <f>+IF(I61=$B61,Pesos!$L$3,0)*IF(COUNTIF($C61:$W61,I61)=1,2,1)</f>
        <v>0</v>
      </c>
      <c r="AE61" s="10">
        <f>+IF(J61=$B61,Pesos!$L$3,0)*IF(COUNTIF($C61:$W61,J61)=1,2,1)</f>
        <v>0</v>
      </c>
      <c r="AF61" s="10">
        <f>+IF(K61=$B61,Pesos!$L$3,0)*IF(COUNTIF($C61:$W61,K61)=1,2,1)</f>
        <v>0</v>
      </c>
      <c r="AG61" s="10">
        <f>+IF(L61=$B61,Pesos!$L$3,0)*IF(COUNTIF($C61:$W61,L61)=1,2,1)</f>
        <v>0</v>
      </c>
      <c r="AH61" s="10">
        <f>+IF(M61=$B61,Pesos!$L$3,0)*IF(COUNTIF($C61:$W61,M61)=1,2,1)</f>
        <v>0</v>
      </c>
      <c r="AI61" s="10">
        <f>+IF(N61=$B61,Pesos!$L$3,0)*IF(COUNTIF($C61:$W61,N61)=1,2,1)</f>
        <v>0</v>
      </c>
      <c r="AJ61" s="10">
        <f>+IF(O61=$B61,Pesos!$L$3,0)*IF(COUNTIF($C61:$W61,O61)=1,2,1)</f>
        <v>0</v>
      </c>
      <c r="AK61" s="10">
        <f>+IF(P61=$B61,Pesos!$L$3,0)*IF(COUNTIF($C61:$W61,P61)=1,2,1)</f>
        <v>0</v>
      </c>
      <c r="AL61" s="10">
        <f>+IF(Q61=$B61,Pesos!$L$3,0)*IF(COUNTIF($C61:$W61,Q61)=1,2,1)</f>
        <v>0</v>
      </c>
      <c r="AM61" s="10">
        <f>+IF(R61=$B61,Pesos!$L$3,0)*IF(COUNTIF($C61:$W61,R61)=1,2,1)</f>
        <v>0</v>
      </c>
      <c r="AN61" s="10">
        <f>+IF(S61=$B61,Pesos!$L$3,0)*IF(COUNTIF($C61:$W61,S61)=1,2,1)</f>
        <v>0</v>
      </c>
      <c r="AO61" s="10">
        <f>+IF(T61=$B61,Pesos!$L$3,0)*IF(COUNTIF($C61:$W61,T61)=1,2,1)</f>
        <v>0</v>
      </c>
      <c r="AP61" s="10">
        <f>+IF(U61=$B61,Pesos!$L$3,0)*IF(COUNTIF($C61:$W61,U61)=1,2,1)</f>
        <v>0</v>
      </c>
      <c r="AQ61" s="10">
        <f>+IF(V61=$B61,Pesos!$L$3,0)*IF(COUNTIF($C61:$W61,V61)=1,2,1)</f>
        <v>0</v>
      </c>
      <c r="AR61" s="10">
        <f>+IF(W61=$B61,Pesos!$L$3,0)*IF(COUNTIF($C61:$W61,W61)=1,2,1)</f>
        <v>0</v>
      </c>
    </row>
    <row r="62" ht="12.75" customHeight="1">
      <c r="A62" s="1" t="str">
        <f>'1a FASE'!A63</f>
        <v>Machtday 4</v>
      </c>
      <c r="B62" s="8" t="str">
        <f>'1a FASE'!B63</f>
        <v>Arsenal</v>
      </c>
      <c r="C62" s="11" t="str">
        <f>'1a FASE'!C63</f>
        <v>Arsenal</v>
      </c>
      <c r="D62" s="11" t="str">
        <f>'1a FASE'!D63</f>
        <v>Arsenal</v>
      </c>
      <c r="E62" s="11" t="str">
        <f>'1a FASE'!E63</f>
        <v>Arsenal</v>
      </c>
      <c r="F62" s="11" t="str">
        <f>'1a FASE'!F63</f>
        <v>Arsenal</v>
      </c>
      <c r="G62" s="11" t="str">
        <f>'1a FASE'!G63</f>
        <v>Arsenal</v>
      </c>
      <c r="H62" s="11" t="str">
        <f>'1a FASE'!H63</f>
        <v>Arsenal</v>
      </c>
      <c r="I62" s="11" t="str">
        <f>'1a FASE'!I63</f>
        <v>Arsenal</v>
      </c>
      <c r="J62" s="11" t="str">
        <f>'1a FASE'!J63</f>
        <v>Arsenal</v>
      </c>
      <c r="K62" s="11" t="str">
        <f>'1a FASE'!K63</f>
        <v>Arsenal</v>
      </c>
      <c r="L62" s="11" t="str">
        <f>'1a FASE'!L63</f>
        <v>Arsenal</v>
      </c>
      <c r="M62" s="11" t="str">
        <f>'1a FASE'!M63</f>
        <v>Arsenal</v>
      </c>
      <c r="N62" s="11" t="str">
        <f>'1a FASE'!N63</f>
        <v>Arsenal</v>
      </c>
      <c r="O62" s="11" t="str">
        <f>'1a FASE'!O63</f>
        <v>Arsenal</v>
      </c>
      <c r="P62" s="11" t="str">
        <f>'1a FASE'!P63</f>
        <v>Arsenal</v>
      </c>
      <c r="Q62" s="11" t="str">
        <f>'1a FASE'!Q63</f>
        <v>Arsenal</v>
      </c>
      <c r="R62" s="11" t="str">
        <f>'1a FASE'!R63</f>
        <v>Arsenal</v>
      </c>
      <c r="S62" s="11" t="str">
        <f>'1a FASE'!S63</f>
        <v>Arsenal</v>
      </c>
      <c r="T62" s="11" t="str">
        <f>'1a FASE'!T63</f>
        <v>Slavia Praga</v>
      </c>
      <c r="U62" s="11" t="str">
        <f>'1a FASE'!U63</f>
        <v>Arsenal</v>
      </c>
      <c r="V62" s="11" t="str">
        <f>'1a FASE'!V63</f>
        <v>Arsenal</v>
      </c>
      <c r="W62" s="11" t="str">
        <f>'1a FASE'!W63</f>
        <v>Arsenal</v>
      </c>
      <c r="X62" s="11">
        <f>+IF(C62=$B62,Pesos!$L$3,0)*IF(COUNTIF($C62:$W62,C62)=1,2,1)</f>
        <v>0.85</v>
      </c>
      <c r="Y62" s="11">
        <f>+IF(D62=$B62,Pesos!$L$3,0)*IF(COUNTIF($C62:$W62,D62)=1,2,1)</f>
        <v>0.85</v>
      </c>
      <c r="Z62" s="11">
        <f>+IF(E62=$B62,Pesos!$L$3,0)*IF(COUNTIF($C62:$W62,E62)=1,2,1)</f>
        <v>0.85</v>
      </c>
      <c r="AA62" s="11">
        <f>+IF(F62=$B62,Pesos!$L$3,0)*IF(COUNTIF($C62:$W62,F62)=1,2,1)</f>
        <v>0.85</v>
      </c>
      <c r="AB62" s="11">
        <f>+IF(G62=$B62,Pesos!$L$3,0)*IF(COUNTIF($C62:$W62,G62)=1,2,1)</f>
        <v>0.85</v>
      </c>
      <c r="AC62" s="11">
        <f>+IF(H62=$B62,Pesos!$L$3,0)*IF(COUNTIF($C62:$W62,H62)=1,2,1)</f>
        <v>0.85</v>
      </c>
      <c r="AD62" s="11">
        <f>+IF(I62=$B62,Pesos!$L$3,0)*IF(COUNTIF($C62:$W62,I62)=1,2,1)</f>
        <v>0.85</v>
      </c>
      <c r="AE62" s="11">
        <f>+IF(J62=$B62,Pesos!$L$3,0)*IF(COUNTIF($C62:$W62,J62)=1,2,1)</f>
        <v>0.85</v>
      </c>
      <c r="AF62" s="11">
        <f>+IF(K62=$B62,Pesos!$L$3,0)*IF(COUNTIF($C62:$W62,K62)=1,2,1)</f>
        <v>0.85</v>
      </c>
      <c r="AG62" s="11">
        <f>+IF(L62=$B62,Pesos!$L$3,0)*IF(COUNTIF($C62:$W62,L62)=1,2,1)</f>
        <v>0.85</v>
      </c>
      <c r="AH62" s="11">
        <f>+IF(M62=$B62,Pesos!$L$3,0)*IF(COUNTIF($C62:$W62,M62)=1,2,1)</f>
        <v>0.85</v>
      </c>
      <c r="AI62" s="11">
        <f>+IF(N62=$B62,Pesos!$L$3,0)*IF(COUNTIF($C62:$W62,N62)=1,2,1)</f>
        <v>0.85</v>
      </c>
      <c r="AJ62" s="11">
        <f>+IF(O62=$B62,Pesos!$L$3,0)*IF(COUNTIF($C62:$W62,O62)=1,2,1)</f>
        <v>0.85</v>
      </c>
      <c r="AK62" s="11">
        <f>+IF(P62=$B62,Pesos!$L$3,0)*IF(COUNTIF($C62:$W62,P62)=1,2,1)</f>
        <v>0.85</v>
      </c>
      <c r="AL62" s="11">
        <f>+IF(Q62=$B62,Pesos!$L$3,0)*IF(COUNTIF($C62:$W62,Q62)=1,2,1)</f>
        <v>0.85</v>
      </c>
      <c r="AM62" s="11">
        <f>+IF(R62=$B62,Pesos!$L$3,0)*IF(COUNTIF($C62:$W62,R62)=1,2,1)</f>
        <v>0.85</v>
      </c>
      <c r="AN62" s="11">
        <f>+IF(S62=$B62,Pesos!$L$3,0)*IF(COUNTIF($C62:$W62,S62)=1,2,1)</f>
        <v>0.85</v>
      </c>
      <c r="AO62" s="11">
        <f>+IF(T62=$B62,Pesos!$L$3,0)*IF(COUNTIF($C62:$W62,T62)=1,2,1)</f>
        <v>0</v>
      </c>
      <c r="AP62" s="11">
        <f>+IF(U62=$B62,Pesos!$L$3,0)*IF(COUNTIF($C62:$W62,U62)=1,2,1)</f>
        <v>0.85</v>
      </c>
      <c r="AQ62" s="11">
        <f>+IF(V62=$B62,Pesos!$L$3,0)*IF(COUNTIF($C62:$W62,V62)=1,2,1)</f>
        <v>0.85</v>
      </c>
      <c r="AR62" s="11">
        <f>+IF(W62=$B62,Pesos!$L$3,0)*IF(COUNTIF($C62:$W62,W62)=1,2,1)</f>
        <v>0.85</v>
      </c>
    </row>
    <row r="63" ht="12.75" customHeight="1">
      <c r="A63" s="1" t="str">
        <f>'1a FASE'!A62</f>
        <v>Machtday 4</v>
      </c>
      <c r="B63" s="8" t="str">
        <f>'1a FASE'!B64</f>
        <v>Bayern de Munique</v>
      </c>
      <c r="C63" s="10" t="str">
        <f>'1a FASE'!C64</f>
        <v>Paris Saint-Germain</v>
      </c>
      <c r="D63" s="10" t="str">
        <f>'1a FASE'!D64</f>
        <v>Paris Saint-Germain</v>
      </c>
      <c r="E63" s="10" t="str">
        <f>'1a FASE'!E64</f>
        <v>Paris Saint-Germain</v>
      </c>
      <c r="F63" s="10" t="str">
        <f>'1a FASE'!F64</f>
        <v>Paris Saint-Germain</v>
      </c>
      <c r="G63" s="10" t="str">
        <f>'1a FASE'!G64</f>
        <v>Paris Saint-Germain</v>
      </c>
      <c r="H63" s="10" t="str">
        <f>'1a FASE'!H64</f>
        <v>Bayern de Munique</v>
      </c>
      <c r="I63" s="10" t="str">
        <f>'1a FASE'!I64</f>
        <v>Paris Saint-Germain</v>
      </c>
      <c r="J63" s="10" t="str">
        <f>'1a FASE'!J64</f>
        <v>Paris Saint-Germain</v>
      </c>
      <c r="K63" s="10" t="str">
        <f>'1a FASE'!K64</f>
        <v>Paris Saint-Germain</v>
      </c>
      <c r="L63" s="10" t="str">
        <f>'1a FASE'!L64</f>
        <v>Paris Saint-Germain</v>
      </c>
      <c r="M63" s="10" t="str">
        <f>'1a FASE'!M64</f>
        <v>Paris Saint-Germain</v>
      </c>
      <c r="N63" s="10" t="str">
        <f>'1a FASE'!N64</f>
        <v>Paris Saint-Germain</v>
      </c>
      <c r="O63" s="10" t="str">
        <f>'1a FASE'!O64</f>
        <v>Empate</v>
      </c>
      <c r="P63" s="10" t="str">
        <f>'1a FASE'!P64</f>
        <v>Paris Saint-Germain</v>
      </c>
      <c r="Q63" s="10" t="str">
        <f>'1a FASE'!Q64</f>
        <v>Paris Saint-Germain</v>
      </c>
      <c r="R63" s="10" t="str">
        <f>'1a FASE'!R64</f>
        <v>Paris Saint-Germain</v>
      </c>
      <c r="S63" s="10" t="str">
        <f>'1a FASE'!S64</f>
        <v>Empate</v>
      </c>
      <c r="T63" s="10" t="str">
        <f>'1a FASE'!T64</f>
        <v>Paris Saint-Germain</v>
      </c>
      <c r="U63" s="10" t="str">
        <f>'1a FASE'!U64</f>
        <v>Bayern de Munique</v>
      </c>
      <c r="V63" s="10" t="str">
        <f>'1a FASE'!V64</f>
        <v>Paris Saint-Germain</v>
      </c>
      <c r="W63" s="10" t="str">
        <f>'1a FASE'!W64</f>
        <v>Paris Saint-Germain</v>
      </c>
      <c r="X63" s="10">
        <f>+IF(C63=$B63,Pesos!$L$3,0)*IF(COUNTIF($C63:$W63,C63)=1,2,1)</f>
        <v>0</v>
      </c>
      <c r="Y63" s="10">
        <f>+IF(D63=$B63,Pesos!$L$3,0)*IF(COUNTIF($C63:$W63,D63)=1,2,1)</f>
        <v>0</v>
      </c>
      <c r="Z63" s="10">
        <f>+IF(E63=$B63,Pesos!$L$3,0)*IF(COUNTIF($C63:$W63,E63)=1,2,1)</f>
        <v>0</v>
      </c>
      <c r="AA63" s="10">
        <f>+IF(F63=$B63,Pesos!$L$3,0)*IF(COUNTIF($C63:$W63,F63)=1,2,1)</f>
        <v>0</v>
      </c>
      <c r="AB63" s="10">
        <f>+IF(G63=$B63,Pesos!$L$3,0)*IF(COUNTIF($C63:$W63,G63)=1,2,1)</f>
        <v>0</v>
      </c>
      <c r="AC63" s="10">
        <f>+IF(H63=$B63,Pesos!$L$3,0)*IF(COUNTIF($C63:$W63,H63)=1,2,1)</f>
        <v>0.85</v>
      </c>
      <c r="AD63" s="10">
        <f>+IF(I63=$B63,Pesos!$L$3,0)*IF(COUNTIF($C63:$W63,I63)=1,2,1)</f>
        <v>0</v>
      </c>
      <c r="AE63" s="10">
        <f>+IF(J63=$B63,Pesos!$L$3,0)*IF(COUNTIF($C63:$W63,J63)=1,2,1)</f>
        <v>0</v>
      </c>
      <c r="AF63" s="10">
        <f>+IF(K63=$B63,Pesos!$L$3,0)*IF(COUNTIF($C63:$W63,K63)=1,2,1)</f>
        <v>0</v>
      </c>
      <c r="AG63" s="10">
        <f>+IF(L63=$B63,Pesos!$L$3,0)*IF(COUNTIF($C63:$W63,L63)=1,2,1)</f>
        <v>0</v>
      </c>
      <c r="AH63" s="10">
        <f>+IF(M63=$B63,Pesos!$L$3,0)*IF(COUNTIF($C63:$W63,M63)=1,2,1)</f>
        <v>0</v>
      </c>
      <c r="AI63" s="10">
        <f>+IF(N63=$B63,Pesos!$L$3,0)*IF(COUNTIF($C63:$W63,N63)=1,2,1)</f>
        <v>0</v>
      </c>
      <c r="AJ63" s="10">
        <f>+IF(O63=$B63,Pesos!$L$3,0)*IF(COUNTIF($C63:$W63,O63)=1,2,1)</f>
        <v>0</v>
      </c>
      <c r="AK63" s="10">
        <f>+IF(P63=$B63,Pesos!$L$3,0)*IF(COUNTIF($C63:$W63,P63)=1,2,1)</f>
        <v>0</v>
      </c>
      <c r="AL63" s="10">
        <f>+IF(Q63=$B63,Pesos!$L$3,0)*IF(COUNTIF($C63:$W63,Q63)=1,2,1)</f>
        <v>0</v>
      </c>
      <c r="AM63" s="10">
        <f>+IF(R63=$B63,Pesos!$L$3,0)*IF(COUNTIF($C63:$W63,R63)=1,2,1)</f>
        <v>0</v>
      </c>
      <c r="AN63" s="10">
        <f>+IF(S63=$B63,Pesos!$L$3,0)*IF(COUNTIF($C63:$W63,S63)=1,2,1)</f>
        <v>0</v>
      </c>
      <c r="AO63" s="10">
        <f>+IF(T63=$B63,Pesos!$L$3,0)*IF(COUNTIF($C63:$W63,T63)=1,2,1)</f>
        <v>0</v>
      </c>
      <c r="AP63" s="10">
        <f>+IF(U63=$B63,Pesos!$L$3,0)*IF(COUNTIF($C63:$W63,U63)=1,2,1)</f>
        <v>0.85</v>
      </c>
      <c r="AQ63" s="10">
        <f>+IF(V63=$B63,Pesos!$L$3,0)*IF(COUNTIF($C63:$W63,V63)=1,2,1)</f>
        <v>0</v>
      </c>
      <c r="AR63" s="10">
        <f>+IF(W63=$B63,Pesos!$L$3,0)*IF(COUNTIF($C63:$W63,W63)=1,2,1)</f>
        <v>0</v>
      </c>
    </row>
    <row r="64" ht="12.75" customHeight="1">
      <c r="A64" s="1" t="str">
        <f>'1a FASE'!A63</f>
        <v>Machtday 4</v>
      </c>
      <c r="B64" s="8" t="str">
        <f>'1a FASE'!B65</f>
        <v>Liverpool</v>
      </c>
      <c r="C64" s="11" t="str">
        <f>'1a FASE'!C65</f>
        <v>Liverpool</v>
      </c>
      <c r="D64" s="11" t="str">
        <f>'1a FASE'!D65</f>
        <v>Liverpool</v>
      </c>
      <c r="E64" s="11" t="str">
        <f>'1a FASE'!E65</f>
        <v>Liverpool</v>
      </c>
      <c r="F64" s="11" t="str">
        <f>'1a FASE'!F65</f>
        <v>Empate</v>
      </c>
      <c r="G64" s="11" t="str">
        <f>'1a FASE'!G65</f>
        <v>Liverpool</v>
      </c>
      <c r="H64" s="11" t="str">
        <f>'1a FASE'!H65</f>
        <v>Real Madrid</v>
      </c>
      <c r="I64" s="11" t="str">
        <f>'1a FASE'!I65</f>
        <v>Liverpool</v>
      </c>
      <c r="J64" s="11" t="str">
        <f>'1a FASE'!J65</f>
        <v>Liverpool</v>
      </c>
      <c r="K64" s="11" t="str">
        <f>'1a FASE'!K65</f>
        <v>Liverpool</v>
      </c>
      <c r="L64" s="11" t="str">
        <f>'1a FASE'!L65</f>
        <v>Liverpool</v>
      </c>
      <c r="M64" s="11" t="str">
        <f>'1a FASE'!M65</f>
        <v>Liverpool</v>
      </c>
      <c r="N64" s="11" t="str">
        <f>'1a FASE'!N65</f>
        <v>Liverpool</v>
      </c>
      <c r="O64" s="11" t="str">
        <f>'1a FASE'!O65</f>
        <v>Liverpool</v>
      </c>
      <c r="P64" s="11" t="str">
        <f>'1a FASE'!P65</f>
        <v>Liverpool</v>
      </c>
      <c r="Q64" s="11" t="str">
        <f>'1a FASE'!Q65</f>
        <v>Liverpool</v>
      </c>
      <c r="R64" s="11" t="str">
        <f>'1a FASE'!R65</f>
        <v>Liverpool</v>
      </c>
      <c r="S64" s="11" t="str">
        <f>'1a FASE'!S65</f>
        <v>Liverpool</v>
      </c>
      <c r="T64" s="11" t="str">
        <f>'1a FASE'!T65</f>
        <v>Empate</v>
      </c>
      <c r="U64" s="11" t="str">
        <f>'1a FASE'!U65</f>
        <v>Real Madrid</v>
      </c>
      <c r="V64" s="11" t="str">
        <f>'1a FASE'!V65</f>
        <v>Real Madrid</v>
      </c>
      <c r="W64" s="11" t="str">
        <f>'1a FASE'!W65</f>
        <v>Empate</v>
      </c>
      <c r="X64" s="11">
        <f>+IF(C64=$B64,Pesos!$L$3,0)*IF(COUNTIF($C64:$W64,C64)=1,2,1)</f>
        <v>0.85</v>
      </c>
      <c r="Y64" s="11">
        <f>+IF(D64=$B64,Pesos!$L$3,0)*IF(COUNTIF($C64:$W64,D64)=1,2,1)</f>
        <v>0.85</v>
      </c>
      <c r="Z64" s="11">
        <f>+IF(E64=$B64,Pesos!$L$3,0)*IF(COUNTIF($C64:$W64,E64)=1,2,1)</f>
        <v>0.85</v>
      </c>
      <c r="AA64" s="11">
        <f>+IF(F64=$B64,Pesos!$L$3,0)*IF(COUNTIF($C64:$W64,F64)=1,2,1)</f>
        <v>0</v>
      </c>
      <c r="AB64" s="11">
        <f>+IF(G64=$B64,Pesos!$L$3,0)*IF(COUNTIF($C64:$W64,G64)=1,2,1)</f>
        <v>0.85</v>
      </c>
      <c r="AC64" s="11">
        <f>+IF(H64=$B64,Pesos!$L$3,0)*IF(COUNTIF($C64:$W64,H64)=1,2,1)</f>
        <v>0</v>
      </c>
      <c r="AD64" s="11">
        <f>+IF(I64=$B64,Pesos!$L$3,0)*IF(COUNTIF($C64:$W64,I64)=1,2,1)</f>
        <v>0.85</v>
      </c>
      <c r="AE64" s="11">
        <f>+IF(J64=$B64,Pesos!$L$3,0)*IF(COUNTIF($C64:$W64,J64)=1,2,1)</f>
        <v>0.85</v>
      </c>
      <c r="AF64" s="11">
        <f>+IF(K64=$B64,Pesos!$L$3,0)*IF(COUNTIF($C64:$W64,K64)=1,2,1)</f>
        <v>0.85</v>
      </c>
      <c r="AG64" s="11">
        <f>+IF(L64=$B64,Pesos!$L$3,0)*IF(COUNTIF($C64:$W64,L64)=1,2,1)</f>
        <v>0.85</v>
      </c>
      <c r="AH64" s="11">
        <f>+IF(M64=$B64,Pesos!$L$3,0)*IF(COUNTIF($C64:$W64,M64)=1,2,1)</f>
        <v>0.85</v>
      </c>
      <c r="AI64" s="11">
        <f>+IF(N64=$B64,Pesos!$L$3,0)*IF(COUNTIF($C64:$W64,N64)=1,2,1)</f>
        <v>0.85</v>
      </c>
      <c r="AJ64" s="11">
        <f>+IF(O64=$B64,Pesos!$L$3,0)*IF(COUNTIF($C64:$W64,O64)=1,2,1)</f>
        <v>0.85</v>
      </c>
      <c r="AK64" s="11">
        <f>+IF(P64=$B64,Pesos!$L$3,0)*IF(COUNTIF($C64:$W64,P64)=1,2,1)</f>
        <v>0.85</v>
      </c>
      <c r="AL64" s="11">
        <f>+IF(Q64=$B64,Pesos!$L$3,0)*IF(COUNTIF($C64:$W64,Q64)=1,2,1)</f>
        <v>0.85</v>
      </c>
      <c r="AM64" s="11">
        <f>+IF(R64=$B64,Pesos!$L$3,0)*IF(COUNTIF($C64:$W64,R64)=1,2,1)</f>
        <v>0.85</v>
      </c>
      <c r="AN64" s="11">
        <f>+IF(S64=$B64,Pesos!$L$3,0)*IF(COUNTIF($C64:$W64,S64)=1,2,1)</f>
        <v>0.85</v>
      </c>
      <c r="AO64" s="11">
        <f>+IF(T64=$B64,Pesos!$L$3,0)*IF(COUNTIF($C64:$W64,T64)=1,2,1)</f>
        <v>0</v>
      </c>
      <c r="AP64" s="11">
        <f>+IF(U64=$B64,Pesos!$L$3,0)*IF(COUNTIF($C64:$W64,U64)=1,2,1)</f>
        <v>0</v>
      </c>
      <c r="AQ64" s="11">
        <f>+IF(V64=$B64,Pesos!$L$3,0)*IF(COUNTIF($C64:$W64,V64)=1,2,1)</f>
        <v>0</v>
      </c>
      <c r="AR64" s="11">
        <f>+IF(W64=$B64,Pesos!$L$3,0)*IF(COUNTIF($C64:$W64,W64)=1,2,1)</f>
        <v>0</v>
      </c>
    </row>
    <row r="65" ht="12.75" customHeight="1">
      <c r="A65" s="1" t="str">
        <f>'1a FASE'!A64</f>
        <v>Machtday 4</v>
      </c>
      <c r="B65" s="8" t="str">
        <f>'1a FASE'!B66</f>
        <v>Atlético de Madrid</v>
      </c>
      <c r="C65" s="10" t="str">
        <f>'1a FASE'!C66</f>
        <v>Atlético de Madrid</v>
      </c>
      <c r="D65" s="10" t="str">
        <f>'1a FASE'!D66</f>
        <v>Atlético de Madrid</v>
      </c>
      <c r="E65" s="10" t="str">
        <f>'1a FASE'!E66</f>
        <v>Atlético de Madrid</v>
      </c>
      <c r="F65" s="10" t="str">
        <f>'1a FASE'!F66</f>
        <v>Atlético de Madrid</v>
      </c>
      <c r="G65" s="10" t="str">
        <f>'1a FASE'!G66</f>
        <v>Atlético de Madrid</v>
      </c>
      <c r="H65" s="10" t="str">
        <f>'1a FASE'!H66</f>
        <v>Atlético de Madrid</v>
      </c>
      <c r="I65" s="10" t="str">
        <f>'1a FASE'!I66</f>
        <v>Atlético de Madrid</v>
      </c>
      <c r="J65" s="10" t="str">
        <f>'1a FASE'!J66</f>
        <v>Atlético de Madrid</v>
      </c>
      <c r="K65" s="10" t="str">
        <f>'1a FASE'!K66</f>
        <v>Atlético de Madrid</v>
      </c>
      <c r="L65" s="10" t="str">
        <f>'1a FASE'!L66</f>
        <v>Atlético de Madrid</v>
      </c>
      <c r="M65" s="10" t="str">
        <f>'1a FASE'!M66</f>
        <v>Atlético de Madrid</v>
      </c>
      <c r="N65" s="10" t="str">
        <f>'1a FASE'!N66</f>
        <v>Atlético de Madrid</v>
      </c>
      <c r="O65" s="10" t="str">
        <f>'1a FASE'!O66</f>
        <v>Atlético de Madrid</v>
      </c>
      <c r="P65" s="10" t="str">
        <f>'1a FASE'!P66</f>
        <v>Atlético de Madrid</v>
      </c>
      <c r="Q65" s="10" t="str">
        <f>'1a FASE'!Q66</f>
        <v>Atlético de Madrid</v>
      </c>
      <c r="R65" s="10" t="str">
        <f>'1a FASE'!R66</f>
        <v>Atlético de Madrid</v>
      </c>
      <c r="S65" s="10" t="str">
        <f>'1a FASE'!S66</f>
        <v>Atlético de Madrid</v>
      </c>
      <c r="T65" s="10" t="str">
        <f>'1a FASE'!T66</f>
        <v>Atlético de Madrid</v>
      </c>
      <c r="U65" s="10" t="str">
        <f>'1a FASE'!U66</f>
        <v>Atlético de Madrid</v>
      </c>
      <c r="V65" s="10" t="str">
        <f>'1a FASE'!V66</f>
        <v>Atlético de Madrid</v>
      </c>
      <c r="W65" s="10" t="str">
        <f>'1a FASE'!W66</f>
        <v>Atlético de Madrid</v>
      </c>
      <c r="X65" s="10">
        <f>+IF(C65=$B65,Pesos!$L$3,0)*IF(COUNTIF($C65:$W65,C65)=1,2,1)</f>
        <v>0.85</v>
      </c>
      <c r="Y65" s="10">
        <f>+IF(D65=$B65,Pesos!$L$3,0)*IF(COUNTIF($C65:$W65,D65)=1,2,1)</f>
        <v>0.85</v>
      </c>
      <c r="Z65" s="10">
        <f>+IF(E65=$B65,Pesos!$L$3,0)*IF(COUNTIF($C65:$W65,E65)=1,2,1)</f>
        <v>0.85</v>
      </c>
      <c r="AA65" s="10">
        <f>+IF(F65=$B65,Pesos!$L$3,0)*IF(COUNTIF($C65:$W65,F65)=1,2,1)</f>
        <v>0.85</v>
      </c>
      <c r="AB65" s="10">
        <f>+IF(G65=$B65,Pesos!$L$3,0)*IF(COUNTIF($C65:$W65,G65)=1,2,1)</f>
        <v>0.85</v>
      </c>
      <c r="AC65" s="10">
        <f>+IF(H65=$B65,Pesos!$L$3,0)*IF(COUNTIF($C65:$W65,H65)=1,2,1)</f>
        <v>0.85</v>
      </c>
      <c r="AD65" s="10">
        <f>+IF(I65=$B65,Pesos!$L$3,0)*IF(COUNTIF($C65:$W65,I65)=1,2,1)</f>
        <v>0.85</v>
      </c>
      <c r="AE65" s="10">
        <f>+IF(J65=$B65,Pesos!$L$3,0)*IF(COUNTIF($C65:$W65,J65)=1,2,1)</f>
        <v>0.85</v>
      </c>
      <c r="AF65" s="10">
        <f>+IF(K65=$B65,Pesos!$L$3,0)*IF(COUNTIF($C65:$W65,K65)=1,2,1)</f>
        <v>0.85</v>
      </c>
      <c r="AG65" s="10">
        <f>+IF(L65=$B65,Pesos!$L$3,0)*IF(COUNTIF($C65:$W65,L65)=1,2,1)</f>
        <v>0.85</v>
      </c>
      <c r="AH65" s="10">
        <f>+IF(M65=$B65,Pesos!$L$3,0)*IF(COUNTIF($C65:$W65,M65)=1,2,1)</f>
        <v>0.85</v>
      </c>
      <c r="AI65" s="10">
        <f>+IF(N65=$B65,Pesos!$L$3,0)*IF(COUNTIF($C65:$W65,N65)=1,2,1)</f>
        <v>0.85</v>
      </c>
      <c r="AJ65" s="10">
        <f>+IF(O65=$B65,Pesos!$L$3,0)*IF(COUNTIF($C65:$W65,O65)=1,2,1)</f>
        <v>0.85</v>
      </c>
      <c r="AK65" s="10">
        <f>+IF(P65=$B65,Pesos!$L$3,0)*IF(COUNTIF($C65:$W65,P65)=1,2,1)</f>
        <v>0.85</v>
      </c>
      <c r="AL65" s="10">
        <f>+IF(Q65=$B65,Pesos!$L$3,0)*IF(COUNTIF($C65:$W65,Q65)=1,2,1)</f>
        <v>0.85</v>
      </c>
      <c r="AM65" s="10">
        <f>+IF(R65=$B65,Pesos!$L$3,0)*IF(COUNTIF($C65:$W65,R65)=1,2,1)</f>
        <v>0.85</v>
      </c>
      <c r="AN65" s="10">
        <f>+IF(S65=$B65,Pesos!$L$3,0)*IF(COUNTIF($C65:$W65,S65)=1,2,1)</f>
        <v>0.85</v>
      </c>
      <c r="AO65" s="10">
        <f>+IF(T65=$B65,Pesos!$L$3,0)*IF(COUNTIF($C65:$W65,T65)=1,2,1)</f>
        <v>0.85</v>
      </c>
      <c r="AP65" s="10">
        <f>+IF(U65=$B65,Pesos!$L$3,0)*IF(COUNTIF($C65:$W65,U65)=1,2,1)</f>
        <v>0.85</v>
      </c>
      <c r="AQ65" s="10">
        <f>+IF(V65=$B65,Pesos!$L$3,0)*IF(COUNTIF($C65:$W65,V65)=1,2,1)</f>
        <v>0.85</v>
      </c>
      <c r="AR65" s="10">
        <f>+IF(W65=$B65,Pesos!$L$3,0)*IF(COUNTIF($C65:$W65,W65)=1,2,1)</f>
        <v>0.85</v>
      </c>
    </row>
    <row r="66" ht="12.75" customHeight="1">
      <c r="A66" s="1" t="str">
        <f>'1a FASE'!A65</f>
        <v>Machtday 4</v>
      </c>
      <c r="B66" s="8" t="str">
        <f>'1a FASE'!B67</f>
        <v>Empate</v>
      </c>
      <c r="C66" s="11" t="str">
        <f>'1a FASE'!C67</f>
        <v>Juventus</v>
      </c>
      <c r="D66" s="11" t="str">
        <f>'1a FASE'!D67</f>
        <v>Juventus</v>
      </c>
      <c r="E66" s="11" t="str">
        <f>'1a FASE'!E67</f>
        <v>Juventus</v>
      </c>
      <c r="F66" s="11" t="str">
        <f>'1a FASE'!F67</f>
        <v>Juventus</v>
      </c>
      <c r="G66" s="11" t="str">
        <f>'1a FASE'!G67</f>
        <v>Juventus</v>
      </c>
      <c r="H66" s="11" t="str">
        <f>'1a FASE'!H67</f>
        <v>Juventus</v>
      </c>
      <c r="I66" s="11" t="str">
        <f>'1a FASE'!I67</f>
        <v>Juventus</v>
      </c>
      <c r="J66" s="11" t="str">
        <f>'1a FASE'!J67</f>
        <v>Juventus</v>
      </c>
      <c r="K66" s="11" t="str">
        <f>'1a FASE'!K67</f>
        <v>Juventus</v>
      </c>
      <c r="L66" s="11" t="str">
        <f>'1a FASE'!L67</f>
        <v>Juventus</v>
      </c>
      <c r="M66" s="11" t="str">
        <f>'1a FASE'!M67</f>
        <v>Juventus</v>
      </c>
      <c r="N66" s="11" t="str">
        <f>'1a FASE'!N67</f>
        <v>Juventus</v>
      </c>
      <c r="O66" s="11" t="str">
        <f>'1a FASE'!O67</f>
        <v>Empate</v>
      </c>
      <c r="P66" s="11" t="str">
        <f>'1a FASE'!P67</f>
        <v>Juventus</v>
      </c>
      <c r="Q66" s="11" t="str">
        <f>'1a FASE'!Q67</f>
        <v>Juventus</v>
      </c>
      <c r="R66" s="11" t="str">
        <f>'1a FASE'!R67</f>
        <v>Juventus</v>
      </c>
      <c r="S66" s="11" t="str">
        <f>'1a FASE'!S67</f>
        <v>Juventus</v>
      </c>
      <c r="T66" s="11" t="str">
        <f>'1a FASE'!T67</f>
        <v>Juventus</v>
      </c>
      <c r="U66" s="11" t="str">
        <f>'1a FASE'!U67</f>
        <v>Juventus</v>
      </c>
      <c r="V66" s="11" t="str">
        <f>'1a FASE'!V67</f>
        <v>Sporting</v>
      </c>
      <c r="W66" s="11" t="str">
        <f>'1a FASE'!W67</f>
        <v>Juventus</v>
      </c>
      <c r="X66" s="11">
        <f>+IF(C66=$B66,Pesos!$L$3,0)*IF(COUNTIF($C66:$W66,C66)=1,2,1)</f>
        <v>0</v>
      </c>
      <c r="Y66" s="11">
        <f>+IF(D66=$B66,Pesos!$L$3,0)*IF(COUNTIF($C66:$W66,D66)=1,2,1)</f>
        <v>0</v>
      </c>
      <c r="Z66" s="11">
        <f>+IF(E66=$B66,Pesos!$L$3,0)*IF(COUNTIF($C66:$W66,E66)=1,2,1)</f>
        <v>0</v>
      </c>
      <c r="AA66" s="11">
        <f>+IF(F66=$B66,Pesos!$L$3,0)*IF(COUNTIF($C66:$W66,F66)=1,2,1)</f>
        <v>0</v>
      </c>
      <c r="AB66" s="11">
        <f>+IF(G66=$B66,Pesos!$L$3,0)*IF(COUNTIF($C66:$W66,G66)=1,2,1)</f>
        <v>0</v>
      </c>
      <c r="AC66" s="11">
        <f>+IF(H66=$B66,Pesos!$L$3,0)*IF(COUNTIF($C66:$W66,H66)=1,2,1)</f>
        <v>0</v>
      </c>
      <c r="AD66" s="11">
        <f>+IF(I66=$B66,Pesos!$L$3,0)*IF(COUNTIF($C66:$W66,I66)=1,2,1)</f>
        <v>0</v>
      </c>
      <c r="AE66" s="11">
        <f>+IF(J66=$B66,Pesos!$L$3,0)*IF(COUNTIF($C66:$W66,J66)=1,2,1)</f>
        <v>0</v>
      </c>
      <c r="AF66" s="11">
        <f>+IF(K66=$B66,Pesos!$L$3,0)*IF(COUNTIF($C66:$W66,K66)=1,2,1)</f>
        <v>0</v>
      </c>
      <c r="AG66" s="11">
        <f>+IF(L66=$B66,Pesos!$L$3,0)*IF(COUNTIF($C66:$W66,L66)=1,2,1)</f>
        <v>0</v>
      </c>
      <c r="AH66" s="11">
        <f>+IF(M66=$B66,Pesos!$L$3,0)*IF(COUNTIF($C66:$W66,M66)=1,2,1)</f>
        <v>0</v>
      </c>
      <c r="AI66" s="11">
        <f>+IF(N66=$B66,Pesos!$L$3,0)*IF(COUNTIF($C66:$W66,N66)=1,2,1)</f>
        <v>0</v>
      </c>
      <c r="AJ66" s="11">
        <f>+IF(O66=$B66,Pesos!$L$3,0)*IF(COUNTIF($C66:$W66,O66)=1,2,1)</f>
        <v>1.7</v>
      </c>
      <c r="AK66" s="11">
        <f>+IF(P66=$B66,Pesos!$L$3,0)*IF(COUNTIF($C66:$W66,P66)=1,2,1)</f>
        <v>0</v>
      </c>
      <c r="AL66" s="11">
        <f>+IF(Q66=$B66,Pesos!$L$3,0)*IF(COUNTIF($C66:$W66,Q66)=1,2,1)</f>
        <v>0</v>
      </c>
      <c r="AM66" s="11">
        <f>+IF(R66=$B66,Pesos!$L$3,0)*IF(COUNTIF($C66:$W66,R66)=1,2,1)</f>
        <v>0</v>
      </c>
      <c r="AN66" s="11">
        <f>+IF(S66=$B66,Pesos!$L$3,0)*IF(COUNTIF($C66:$W66,S66)=1,2,1)</f>
        <v>0</v>
      </c>
      <c r="AO66" s="11">
        <f>+IF(T66=$B66,Pesos!$L$3,0)*IF(COUNTIF($C66:$W66,T66)=1,2,1)</f>
        <v>0</v>
      </c>
      <c r="AP66" s="11">
        <f>+IF(U66=$B66,Pesos!$L$3,0)*IF(COUNTIF($C66:$W66,U66)=1,2,1)</f>
        <v>0</v>
      </c>
      <c r="AQ66" s="11">
        <f>+IF(V66=$B66,Pesos!$L$3,0)*IF(COUNTIF($C66:$W66,V66)=1,2,1)</f>
        <v>0</v>
      </c>
      <c r="AR66" s="11">
        <f>+IF(W66=$B66,Pesos!$L$3,0)*IF(COUNTIF($C66:$W66,W66)=1,2,1)</f>
        <v>0</v>
      </c>
    </row>
    <row r="67" ht="12.75" customHeight="1">
      <c r="A67" s="1" t="str">
        <f>'1a FASE'!A66</f>
        <v>Machtday 4</v>
      </c>
      <c r="B67" s="8" t="str">
        <f>'1a FASE'!B68</f>
        <v>Tottenham</v>
      </c>
      <c r="C67" s="10" t="str">
        <f>'1a FASE'!C68</f>
        <v>Tottenham</v>
      </c>
      <c r="D67" s="10" t="str">
        <f>'1a FASE'!D68</f>
        <v>Tottenham</v>
      </c>
      <c r="E67" s="10" t="str">
        <f>'1a FASE'!E68</f>
        <v>Tottenham</v>
      </c>
      <c r="F67" s="10" t="str">
        <f>'1a FASE'!F68</f>
        <v>Tottenham</v>
      </c>
      <c r="G67" s="10" t="str">
        <f>'1a FASE'!G68</f>
        <v>Tottenham</v>
      </c>
      <c r="H67" s="10" t="str">
        <f>'1a FASE'!H68</f>
        <v>Tottenham</v>
      </c>
      <c r="I67" s="10" t="str">
        <f>'1a FASE'!I68</f>
        <v>Tottenham</v>
      </c>
      <c r="J67" s="10" t="str">
        <f>'1a FASE'!J68</f>
        <v>Tottenham</v>
      </c>
      <c r="K67" s="10" t="str">
        <f>'1a FASE'!K68</f>
        <v>Tottenham</v>
      </c>
      <c r="L67" s="10" t="str">
        <f>'1a FASE'!L68</f>
        <v>Tottenham</v>
      </c>
      <c r="M67" s="10" t="str">
        <f>'1a FASE'!M68</f>
        <v>Tottenham</v>
      </c>
      <c r="N67" s="10" t="str">
        <f>'1a FASE'!N68</f>
        <v>Tottenham</v>
      </c>
      <c r="O67" s="10" t="str">
        <f>'1a FASE'!O68</f>
        <v>Tottenham</v>
      </c>
      <c r="P67" s="10" t="str">
        <f>'1a FASE'!P68</f>
        <v>Tottenham</v>
      </c>
      <c r="Q67" s="10" t="str">
        <f>'1a FASE'!Q68</f>
        <v>Tottenham</v>
      </c>
      <c r="R67" s="10" t="str">
        <f>'1a FASE'!R68</f>
        <v>Tottenham</v>
      </c>
      <c r="S67" s="10" t="str">
        <f>'1a FASE'!S68</f>
        <v>Tottenham</v>
      </c>
      <c r="T67" s="10" t="str">
        <f>'1a FASE'!T68</f>
        <v>Tottenham</v>
      </c>
      <c r="U67" s="10" t="str">
        <f>'1a FASE'!U68</f>
        <v>Tottenham</v>
      </c>
      <c r="V67" s="10" t="str">
        <f>'1a FASE'!V68</f>
        <v>Tottenham</v>
      </c>
      <c r="W67" s="10" t="str">
        <f>'1a FASE'!W68</f>
        <v>Tottenham</v>
      </c>
      <c r="X67" s="10">
        <f>+IF(C67=$B67,Pesos!$L$3,0)*IF(COUNTIF($C67:$W67,C67)=1,2,1)</f>
        <v>0.85</v>
      </c>
      <c r="Y67" s="10">
        <f>+IF(D67=$B67,Pesos!$L$3,0)*IF(COUNTIF($C67:$W67,D67)=1,2,1)</f>
        <v>0.85</v>
      </c>
      <c r="Z67" s="10">
        <f>+IF(E67=$B67,Pesos!$L$3,0)*IF(COUNTIF($C67:$W67,E67)=1,2,1)</f>
        <v>0.85</v>
      </c>
      <c r="AA67" s="10">
        <f>+IF(F67=$B67,Pesos!$L$3,0)*IF(COUNTIF($C67:$W67,F67)=1,2,1)</f>
        <v>0.85</v>
      </c>
      <c r="AB67" s="10">
        <f>+IF(G67=$B67,Pesos!$L$3,0)*IF(COUNTIF($C67:$W67,G67)=1,2,1)</f>
        <v>0.85</v>
      </c>
      <c r="AC67" s="10">
        <f>+IF(H67=$B67,Pesos!$L$3,0)*IF(COUNTIF($C67:$W67,H67)=1,2,1)</f>
        <v>0.85</v>
      </c>
      <c r="AD67" s="10">
        <f>+IF(I67=$B67,Pesos!$L$3,0)*IF(COUNTIF($C67:$W67,I67)=1,2,1)</f>
        <v>0.85</v>
      </c>
      <c r="AE67" s="10">
        <f>+IF(J67=$B67,Pesos!$L$3,0)*IF(COUNTIF($C67:$W67,J67)=1,2,1)</f>
        <v>0.85</v>
      </c>
      <c r="AF67" s="10">
        <f>+IF(K67=$B67,Pesos!$L$3,0)*IF(COUNTIF($C67:$W67,K67)=1,2,1)</f>
        <v>0.85</v>
      </c>
      <c r="AG67" s="10">
        <f>+IF(L67=$B67,Pesos!$L$3,0)*IF(COUNTIF($C67:$W67,L67)=1,2,1)</f>
        <v>0.85</v>
      </c>
      <c r="AH67" s="10">
        <f>+IF(M67=$B67,Pesos!$L$3,0)*IF(COUNTIF($C67:$W67,M67)=1,2,1)</f>
        <v>0.85</v>
      </c>
      <c r="AI67" s="10">
        <f>+IF(N67=$B67,Pesos!$L$3,0)*IF(COUNTIF($C67:$W67,N67)=1,2,1)</f>
        <v>0.85</v>
      </c>
      <c r="AJ67" s="10">
        <f>+IF(O67=$B67,Pesos!$L$3,0)*IF(COUNTIF($C67:$W67,O67)=1,2,1)</f>
        <v>0.85</v>
      </c>
      <c r="AK67" s="10">
        <f>+IF(P67=$B67,Pesos!$L$3,0)*IF(COUNTIF($C67:$W67,P67)=1,2,1)</f>
        <v>0.85</v>
      </c>
      <c r="AL67" s="10">
        <f>+IF(Q67=$B67,Pesos!$L$3,0)*IF(COUNTIF($C67:$W67,Q67)=1,2,1)</f>
        <v>0.85</v>
      </c>
      <c r="AM67" s="10">
        <f>+IF(R67=$B67,Pesos!$L$3,0)*IF(COUNTIF($C67:$W67,R67)=1,2,1)</f>
        <v>0.85</v>
      </c>
      <c r="AN67" s="10">
        <f>+IF(S67=$B67,Pesos!$L$3,0)*IF(COUNTIF($C67:$W67,S67)=1,2,1)</f>
        <v>0.85</v>
      </c>
      <c r="AO67" s="10">
        <f>+IF(T67=$B67,Pesos!$L$3,0)*IF(COUNTIF($C67:$W67,T67)=1,2,1)</f>
        <v>0.85</v>
      </c>
      <c r="AP67" s="10">
        <f>+IF(U67=$B67,Pesos!$L$3,0)*IF(COUNTIF($C67:$W67,U67)=1,2,1)</f>
        <v>0.85</v>
      </c>
      <c r="AQ67" s="10">
        <f>+IF(V67=$B67,Pesos!$L$3,0)*IF(COUNTIF($C67:$W67,V67)=1,2,1)</f>
        <v>0.85</v>
      </c>
      <c r="AR67" s="10">
        <f>+IF(W67=$B67,Pesos!$L$3,0)*IF(COUNTIF($C67:$W67,W67)=1,2,1)</f>
        <v>0.85</v>
      </c>
    </row>
    <row r="68" ht="12.75" customHeight="1">
      <c r="A68" s="1" t="str">
        <f>'1a FASE'!A67</f>
        <v>Machtday 4</v>
      </c>
      <c r="B68" s="8" t="str">
        <f>'1a FASE'!B69</f>
        <v>Empate</v>
      </c>
      <c r="C68" s="11" t="str">
        <f>'1a FASE'!C69</f>
        <v>Empate</v>
      </c>
      <c r="D68" s="11" t="str">
        <f>'1a FASE'!D69</f>
        <v>Olympiacos</v>
      </c>
      <c r="E68" s="11" t="str">
        <f>'1a FASE'!E69</f>
        <v>Olympiacos</v>
      </c>
      <c r="F68" s="11" t="str">
        <f>'1a FASE'!F69</f>
        <v>PSV Eindhoven</v>
      </c>
      <c r="G68" s="11" t="str">
        <f>'1a FASE'!G69</f>
        <v>Empate</v>
      </c>
      <c r="H68" s="11" t="str">
        <f>'1a FASE'!H69</f>
        <v>Olympiacos</v>
      </c>
      <c r="I68" s="11" t="str">
        <f>'1a FASE'!I69</f>
        <v>PSV Eindhoven</v>
      </c>
      <c r="J68" s="11" t="str">
        <f>'1a FASE'!J69</f>
        <v>Olympiacos</v>
      </c>
      <c r="K68" s="11" t="str">
        <f>'1a FASE'!K69</f>
        <v>PSV Eindhoven</v>
      </c>
      <c r="L68" s="11" t="str">
        <f>'1a FASE'!L69</f>
        <v>Empate</v>
      </c>
      <c r="M68" s="11" t="str">
        <f>'1a FASE'!M69</f>
        <v>Empate</v>
      </c>
      <c r="N68" s="11" t="str">
        <f>'1a FASE'!N69</f>
        <v>Empate</v>
      </c>
      <c r="O68" s="11" t="str">
        <f>'1a FASE'!O69</f>
        <v>PSV Eindhoven</v>
      </c>
      <c r="P68" s="11" t="str">
        <f>'1a FASE'!P69</f>
        <v>Empate</v>
      </c>
      <c r="Q68" s="11" t="str">
        <f>'1a FASE'!Q69</f>
        <v>Olympiacos</v>
      </c>
      <c r="R68" s="11" t="str">
        <f>'1a FASE'!R69</f>
        <v>PSV Eindhoven</v>
      </c>
      <c r="S68" s="11" t="str">
        <f>'1a FASE'!S69</f>
        <v>Empate</v>
      </c>
      <c r="T68" s="11" t="str">
        <f>'1a FASE'!T69</f>
        <v>Olympiacos</v>
      </c>
      <c r="U68" s="11" t="str">
        <f>'1a FASE'!U69</f>
        <v>PSV Eindhoven</v>
      </c>
      <c r="V68" s="11" t="str">
        <f>'1a FASE'!V69</f>
        <v>Olympiacos</v>
      </c>
      <c r="W68" s="11" t="str">
        <f>'1a FASE'!W69</f>
        <v>Empate</v>
      </c>
      <c r="X68" s="11">
        <f>+IF(C68=$B68,Pesos!$L$3,0)*IF(COUNTIF($C68:$W68,C68)=1,2,1)</f>
        <v>0.85</v>
      </c>
      <c r="Y68" s="11">
        <f>+IF(D68=$B68,Pesos!$L$3,0)*IF(COUNTIF($C68:$W68,D68)=1,2,1)</f>
        <v>0</v>
      </c>
      <c r="Z68" s="11">
        <f>+IF(E68=$B68,Pesos!$L$3,0)*IF(COUNTIF($C68:$W68,E68)=1,2,1)</f>
        <v>0</v>
      </c>
      <c r="AA68" s="11">
        <f>+IF(F68=$B68,Pesos!$L$3,0)*IF(COUNTIF($C68:$W68,F68)=1,2,1)</f>
        <v>0</v>
      </c>
      <c r="AB68" s="11">
        <f>+IF(G68=$B68,Pesos!$L$3,0)*IF(COUNTIF($C68:$W68,G68)=1,2,1)</f>
        <v>0.85</v>
      </c>
      <c r="AC68" s="11">
        <f>+IF(H68=$B68,Pesos!$L$3,0)*IF(COUNTIF($C68:$W68,H68)=1,2,1)</f>
        <v>0</v>
      </c>
      <c r="AD68" s="11">
        <f>+IF(I68=$B68,Pesos!$L$3,0)*IF(COUNTIF($C68:$W68,I68)=1,2,1)</f>
        <v>0</v>
      </c>
      <c r="AE68" s="11">
        <f>+IF(J68=$B68,Pesos!$L$3,0)*IF(COUNTIF($C68:$W68,J68)=1,2,1)</f>
        <v>0</v>
      </c>
      <c r="AF68" s="11">
        <f>+IF(K68=$B68,Pesos!$L$3,0)*IF(COUNTIF($C68:$W68,K68)=1,2,1)</f>
        <v>0</v>
      </c>
      <c r="AG68" s="11">
        <f>+IF(L68=$B68,Pesos!$L$3,0)*IF(COUNTIF($C68:$W68,L68)=1,2,1)</f>
        <v>0.85</v>
      </c>
      <c r="AH68" s="11">
        <f>+IF(M68=$B68,Pesos!$L$3,0)*IF(COUNTIF($C68:$W68,M68)=1,2,1)</f>
        <v>0.85</v>
      </c>
      <c r="AI68" s="11">
        <f>+IF(N68=$B68,Pesos!$L$3,0)*IF(COUNTIF($C68:$W68,N68)=1,2,1)</f>
        <v>0.85</v>
      </c>
      <c r="AJ68" s="11">
        <f>+IF(O68=$B68,Pesos!$L$3,0)*IF(COUNTIF($C68:$W68,O68)=1,2,1)</f>
        <v>0</v>
      </c>
      <c r="AK68" s="11">
        <f>+IF(P68=$B68,Pesos!$L$3,0)*IF(COUNTIF($C68:$W68,P68)=1,2,1)</f>
        <v>0.85</v>
      </c>
      <c r="AL68" s="11">
        <f>+IF(Q68=$B68,Pesos!$L$3,0)*IF(COUNTIF($C68:$W68,Q68)=1,2,1)</f>
        <v>0</v>
      </c>
      <c r="AM68" s="11">
        <f>+IF(R68=$B68,Pesos!$L$3,0)*IF(COUNTIF($C68:$W68,R68)=1,2,1)</f>
        <v>0</v>
      </c>
      <c r="AN68" s="11">
        <f>+IF(S68=$B68,Pesos!$L$3,0)*IF(COUNTIF($C68:$W68,S68)=1,2,1)</f>
        <v>0.85</v>
      </c>
      <c r="AO68" s="11">
        <f>+IF(T68=$B68,Pesos!$L$3,0)*IF(COUNTIF($C68:$W68,T68)=1,2,1)</f>
        <v>0</v>
      </c>
      <c r="AP68" s="11">
        <f>+IF(U68=$B68,Pesos!$L$3,0)*IF(COUNTIF($C68:$W68,U68)=1,2,1)</f>
        <v>0</v>
      </c>
      <c r="AQ68" s="11">
        <f>+IF(V68=$B68,Pesos!$L$3,0)*IF(COUNTIF($C68:$W68,V68)=1,2,1)</f>
        <v>0</v>
      </c>
      <c r="AR68" s="11">
        <f>+IF(W68=$B68,Pesos!$L$3,0)*IF(COUNTIF($C68:$W68,W68)=1,2,1)</f>
        <v>0.85</v>
      </c>
    </row>
    <row r="69" ht="12.75" customHeight="1">
      <c r="A69" s="1" t="str">
        <f>'1a FASE'!A68</f>
        <v>Machtday 4</v>
      </c>
      <c r="B69" s="8" t="str">
        <f>'1a FASE'!B70</f>
        <v>Monaco</v>
      </c>
      <c r="C69" s="10" t="str">
        <f>'1a FASE'!C70</f>
        <v>Empate</v>
      </c>
      <c r="D69" s="10" t="str">
        <f>'1a FASE'!D70</f>
        <v>Monaco</v>
      </c>
      <c r="E69" s="10" t="str">
        <f>'1a FASE'!E70</f>
        <v>Monaco</v>
      </c>
      <c r="F69" s="10" t="str">
        <f>'1a FASE'!F70</f>
        <v>Monaco</v>
      </c>
      <c r="G69" s="10" t="str">
        <f>'1a FASE'!G70</f>
        <v>Empate</v>
      </c>
      <c r="H69" s="10" t="str">
        <f>'1a FASE'!H70</f>
        <v>Monaco</v>
      </c>
      <c r="I69" s="10" t="str">
        <f>'1a FASE'!I70</f>
        <v>Monaco</v>
      </c>
      <c r="J69" s="10" t="str">
        <f>'1a FASE'!J70</f>
        <v>Monaco</v>
      </c>
      <c r="K69" s="10" t="str">
        <f>'1a FASE'!K70</f>
        <v>Monaco</v>
      </c>
      <c r="L69" s="10" t="str">
        <f>'1a FASE'!L70</f>
        <v>Empate</v>
      </c>
      <c r="M69" s="10" t="str">
        <f>'1a FASE'!M70</f>
        <v>Monaco</v>
      </c>
      <c r="N69" s="10" t="str">
        <f>'1a FASE'!N70</f>
        <v>Monaco</v>
      </c>
      <c r="O69" s="10" t="str">
        <f>'1a FASE'!O70</f>
        <v>Empate</v>
      </c>
      <c r="P69" s="10" t="str">
        <f>'1a FASE'!P70</f>
        <v>Monaco</v>
      </c>
      <c r="Q69" s="10" t="str">
        <f>'1a FASE'!Q70</f>
        <v>Empate</v>
      </c>
      <c r="R69" s="10" t="str">
        <f>'1a FASE'!R70</f>
        <v>Monaco</v>
      </c>
      <c r="S69" s="10" t="str">
        <f>'1a FASE'!S70</f>
        <v>Empate</v>
      </c>
      <c r="T69" s="10" t="str">
        <f>'1a FASE'!T70</f>
        <v>Empate</v>
      </c>
      <c r="U69" s="10" t="str">
        <f>'1a FASE'!U70</f>
        <v>Empate</v>
      </c>
      <c r="V69" s="10" t="str">
        <f>'1a FASE'!V70</f>
        <v>Monaco</v>
      </c>
      <c r="W69" s="10" t="str">
        <f>'1a FASE'!W70</f>
        <v>Monaco</v>
      </c>
      <c r="X69" s="10">
        <f>+IF(C69=$B69,Pesos!$L$3,0)*IF(COUNTIF($C69:$W69,C69)=1,2,1)</f>
        <v>0</v>
      </c>
      <c r="Y69" s="10">
        <f>+IF(D69=$B69,Pesos!$L$3,0)*IF(COUNTIF($C69:$W69,D69)=1,2,1)</f>
        <v>0.85</v>
      </c>
      <c r="Z69" s="10">
        <f>+IF(E69=$B69,Pesos!$L$3,0)*IF(COUNTIF($C69:$W69,E69)=1,2,1)</f>
        <v>0.85</v>
      </c>
      <c r="AA69" s="10">
        <f>+IF(F69=$B69,Pesos!$L$3,0)*IF(COUNTIF($C69:$W69,F69)=1,2,1)</f>
        <v>0.85</v>
      </c>
      <c r="AB69" s="10">
        <f>+IF(G69=$B69,Pesos!$L$3,0)*IF(COUNTIF($C69:$W69,G69)=1,2,1)</f>
        <v>0</v>
      </c>
      <c r="AC69" s="10">
        <f>+IF(H69=$B69,Pesos!$L$3,0)*IF(COUNTIF($C69:$W69,H69)=1,2,1)</f>
        <v>0.85</v>
      </c>
      <c r="AD69" s="10">
        <f>+IF(I69=$B69,Pesos!$L$3,0)*IF(COUNTIF($C69:$W69,I69)=1,2,1)</f>
        <v>0.85</v>
      </c>
      <c r="AE69" s="10">
        <f>+IF(J69=$B69,Pesos!$L$3,0)*IF(COUNTIF($C69:$W69,J69)=1,2,1)</f>
        <v>0.85</v>
      </c>
      <c r="AF69" s="10">
        <f>+IF(K69=$B69,Pesos!$L$3,0)*IF(COUNTIF($C69:$W69,K69)=1,2,1)</f>
        <v>0.85</v>
      </c>
      <c r="AG69" s="10">
        <f>+IF(L69=$B69,Pesos!$L$3,0)*IF(COUNTIF($C69:$W69,L69)=1,2,1)</f>
        <v>0</v>
      </c>
      <c r="AH69" s="10">
        <f>+IF(M69=$B69,Pesos!$L$3,0)*IF(COUNTIF($C69:$W69,M69)=1,2,1)</f>
        <v>0.85</v>
      </c>
      <c r="AI69" s="10">
        <f>+IF(N69=$B69,Pesos!$L$3,0)*IF(COUNTIF($C69:$W69,N69)=1,2,1)</f>
        <v>0.85</v>
      </c>
      <c r="AJ69" s="10">
        <f>+IF(O69=$B69,Pesos!$L$3,0)*IF(COUNTIF($C69:$W69,O69)=1,2,1)</f>
        <v>0</v>
      </c>
      <c r="AK69" s="10">
        <f>+IF(P69=$B69,Pesos!$L$3,0)*IF(COUNTIF($C69:$W69,P69)=1,2,1)</f>
        <v>0.85</v>
      </c>
      <c r="AL69" s="10">
        <f>+IF(Q69=$B69,Pesos!$L$3,0)*IF(COUNTIF($C69:$W69,Q69)=1,2,1)</f>
        <v>0</v>
      </c>
      <c r="AM69" s="10">
        <f>+IF(R69=$B69,Pesos!$L$3,0)*IF(COUNTIF($C69:$W69,R69)=1,2,1)</f>
        <v>0.85</v>
      </c>
      <c r="AN69" s="10">
        <f>+IF(S69=$B69,Pesos!$L$3,0)*IF(COUNTIF($C69:$W69,S69)=1,2,1)</f>
        <v>0</v>
      </c>
      <c r="AO69" s="10">
        <f>+IF(T69=$B69,Pesos!$L$3,0)*IF(COUNTIF($C69:$W69,T69)=1,2,1)</f>
        <v>0</v>
      </c>
      <c r="AP69" s="10">
        <f>+IF(U69=$B69,Pesos!$L$3,0)*IF(COUNTIF($C69:$W69,U69)=1,2,1)</f>
        <v>0</v>
      </c>
      <c r="AQ69" s="10">
        <f>+IF(V69=$B69,Pesos!$L$3,0)*IF(COUNTIF($C69:$W69,V69)=1,2,1)</f>
        <v>0.85</v>
      </c>
      <c r="AR69" s="10">
        <f>+IF(W69=$B69,Pesos!$L$3,0)*IF(COUNTIF($C69:$W69,W69)=1,2,1)</f>
        <v>0.85</v>
      </c>
    </row>
    <row r="70" ht="12.75" customHeight="1">
      <c r="A70" s="1" t="str">
        <f>'1a FASE'!A69</f>
        <v>Machtday 4</v>
      </c>
      <c r="B70" s="8" t="str">
        <f>'1a FASE'!B71</f>
        <v>Empate</v>
      </c>
      <c r="C70" s="11" t="str">
        <f>'1a FASE'!C71</f>
        <v>Chelsea</v>
      </c>
      <c r="D70" s="11" t="str">
        <f>'1a FASE'!D71</f>
        <v>Chelsea</v>
      </c>
      <c r="E70" s="11" t="str">
        <f>'1a FASE'!E71</f>
        <v>Chelsea</v>
      </c>
      <c r="F70" s="11" t="str">
        <f>'1a FASE'!F71</f>
        <v>Chelsea</v>
      </c>
      <c r="G70" s="11" t="str">
        <f>'1a FASE'!G71</f>
        <v>Chelsea</v>
      </c>
      <c r="H70" s="11" t="str">
        <f>'1a FASE'!H71</f>
        <v>Chelsea</v>
      </c>
      <c r="I70" s="11" t="str">
        <f>'1a FASE'!I71</f>
        <v>Chelsea</v>
      </c>
      <c r="J70" s="11" t="str">
        <f>'1a FASE'!J71</f>
        <v>Chelsea</v>
      </c>
      <c r="K70" s="11" t="str">
        <f>'1a FASE'!K71</f>
        <v>Chelsea</v>
      </c>
      <c r="L70" s="11" t="str">
        <f>'1a FASE'!L71</f>
        <v>Chelsea</v>
      </c>
      <c r="M70" s="11" t="str">
        <f>'1a FASE'!M71</f>
        <v>Chelsea</v>
      </c>
      <c r="N70" s="11" t="str">
        <f>'1a FASE'!N71</f>
        <v>Chelsea</v>
      </c>
      <c r="O70" s="11" t="str">
        <f>'1a FASE'!O71</f>
        <v>Chelsea</v>
      </c>
      <c r="P70" s="11" t="str">
        <f>'1a FASE'!P71</f>
        <v>Chelsea</v>
      </c>
      <c r="Q70" s="11" t="str">
        <f>'1a FASE'!Q71</f>
        <v>Chelsea</v>
      </c>
      <c r="R70" s="11" t="str">
        <f>'1a FASE'!R71</f>
        <v>Chelsea</v>
      </c>
      <c r="S70" s="11" t="str">
        <f>'1a FASE'!S71</f>
        <v>Chelsea</v>
      </c>
      <c r="T70" s="11" t="str">
        <f>'1a FASE'!T71</f>
        <v>Empate</v>
      </c>
      <c r="U70" s="11" t="str">
        <f>'1a FASE'!U71</f>
        <v>Chelsea</v>
      </c>
      <c r="V70" s="11" t="str">
        <f>'1a FASE'!V71</f>
        <v>Chelsea</v>
      </c>
      <c r="W70" s="11" t="str">
        <f>'1a FASE'!W71</f>
        <v>Chelsea</v>
      </c>
      <c r="X70" s="11">
        <f>+IF(C70=$B70,Pesos!$L$3,0)*IF(COUNTIF($C70:$W70,C70)=1,2,1)</f>
        <v>0</v>
      </c>
      <c r="Y70" s="11">
        <f>+IF(D70=$B70,Pesos!$L$3,0)*IF(COUNTIF($C70:$W70,D70)=1,2,1)</f>
        <v>0</v>
      </c>
      <c r="Z70" s="11">
        <f>+IF(E70=$B70,Pesos!$L$3,0)*IF(COUNTIF($C70:$W70,E70)=1,2,1)</f>
        <v>0</v>
      </c>
      <c r="AA70" s="11">
        <f>+IF(F70=$B70,Pesos!$L$3,0)*IF(COUNTIF($C70:$W70,F70)=1,2,1)</f>
        <v>0</v>
      </c>
      <c r="AB70" s="11">
        <f>+IF(G70=$B70,Pesos!$L$3,0)*IF(COUNTIF($C70:$W70,G70)=1,2,1)</f>
        <v>0</v>
      </c>
      <c r="AC70" s="11">
        <f>+IF(H70=$B70,Pesos!$L$3,0)*IF(COUNTIF($C70:$W70,H70)=1,2,1)</f>
        <v>0</v>
      </c>
      <c r="AD70" s="11">
        <f>+IF(I70=$B70,Pesos!$L$3,0)*IF(COUNTIF($C70:$W70,I70)=1,2,1)</f>
        <v>0</v>
      </c>
      <c r="AE70" s="11">
        <f>+IF(J70=$B70,Pesos!$L$3,0)*IF(COUNTIF($C70:$W70,J70)=1,2,1)</f>
        <v>0</v>
      </c>
      <c r="AF70" s="11">
        <f>+IF(K70=$B70,Pesos!$L$3,0)*IF(COUNTIF($C70:$W70,K70)=1,2,1)</f>
        <v>0</v>
      </c>
      <c r="AG70" s="11">
        <f>+IF(L70=$B70,Pesos!$L$3,0)*IF(COUNTIF($C70:$W70,L70)=1,2,1)</f>
        <v>0</v>
      </c>
      <c r="AH70" s="11">
        <f>+IF(M70=$B70,Pesos!$L$3,0)*IF(COUNTIF($C70:$W70,M70)=1,2,1)</f>
        <v>0</v>
      </c>
      <c r="AI70" s="11">
        <f>+IF(N70=$B70,Pesos!$L$3,0)*IF(COUNTIF($C70:$W70,N70)=1,2,1)</f>
        <v>0</v>
      </c>
      <c r="AJ70" s="11">
        <f>+IF(O70=$B70,Pesos!$L$3,0)*IF(COUNTIF($C70:$W70,O70)=1,2,1)</f>
        <v>0</v>
      </c>
      <c r="AK70" s="11">
        <f>+IF(P70=$B70,Pesos!$L$3,0)*IF(COUNTIF($C70:$W70,P70)=1,2,1)</f>
        <v>0</v>
      </c>
      <c r="AL70" s="11">
        <f>+IF(Q70=$B70,Pesos!$L$3,0)*IF(COUNTIF($C70:$W70,Q70)=1,2,1)</f>
        <v>0</v>
      </c>
      <c r="AM70" s="11">
        <f>+IF(R70=$B70,Pesos!$L$3,0)*IF(COUNTIF($C70:$W70,R70)=1,2,1)</f>
        <v>0</v>
      </c>
      <c r="AN70" s="11">
        <f>+IF(S70=$B70,Pesos!$L$3,0)*IF(COUNTIF($C70:$W70,S70)=1,2,1)</f>
        <v>0</v>
      </c>
      <c r="AO70" s="11">
        <f>+IF(T70=$B70,Pesos!$L$3,0)*IF(COUNTIF($C70:$W70,T70)=1,2,1)</f>
        <v>1.7</v>
      </c>
      <c r="AP70" s="11">
        <f>+IF(U70=$B70,Pesos!$L$3,0)*IF(COUNTIF($C70:$W70,U70)=1,2,1)</f>
        <v>0</v>
      </c>
      <c r="AQ70" s="11">
        <f>+IF(V70=$B70,Pesos!$L$3,0)*IF(COUNTIF($C70:$W70,V70)=1,2,1)</f>
        <v>0</v>
      </c>
      <c r="AR70" s="11">
        <f>+IF(W70=$B70,Pesos!$L$3,0)*IF(COUNTIF($C70:$W70,W70)=1,2,1)</f>
        <v>0</v>
      </c>
    </row>
    <row r="71" ht="12.75" customHeight="1">
      <c r="A71" s="1" t="str">
        <f>'1a FASE'!A70</f>
        <v>Machtday 4</v>
      </c>
      <c r="B71" s="8" t="str">
        <f>'1a FASE'!B72</f>
        <v>Pafos</v>
      </c>
      <c r="C71" s="10" t="str">
        <f>'1a FASE'!C72</f>
        <v>Villarreal</v>
      </c>
      <c r="D71" s="10" t="str">
        <f>'1a FASE'!D72</f>
        <v>Villarreal</v>
      </c>
      <c r="E71" s="10" t="str">
        <f>'1a FASE'!E72</f>
        <v>Villarreal</v>
      </c>
      <c r="F71" s="10" t="str">
        <f>'1a FASE'!F72</f>
        <v>Villarreal</v>
      </c>
      <c r="G71" s="10" t="str">
        <f>'1a FASE'!G72</f>
        <v>Empate</v>
      </c>
      <c r="H71" s="10" t="str">
        <f>'1a FASE'!H72</f>
        <v>Villarreal</v>
      </c>
      <c r="I71" s="10" t="str">
        <f>'1a FASE'!I72</f>
        <v>Villarreal</v>
      </c>
      <c r="J71" s="10" t="str">
        <f>'1a FASE'!J72</f>
        <v>Villarreal</v>
      </c>
      <c r="K71" s="10" t="str">
        <f>'1a FASE'!K72</f>
        <v>Villarreal</v>
      </c>
      <c r="L71" s="10" t="str">
        <f>'1a FASE'!L72</f>
        <v>Empate</v>
      </c>
      <c r="M71" s="10" t="str">
        <f>'1a FASE'!M72</f>
        <v>Villarreal</v>
      </c>
      <c r="N71" s="10" t="str">
        <f>'1a FASE'!N72</f>
        <v>Villarreal</v>
      </c>
      <c r="O71" s="10" t="str">
        <f>'1a FASE'!O72</f>
        <v>Empate</v>
      </c>
      <c r="P71" s="10" t="str">
        <f>'1a FASE'!P72</f>
        <v>Villarreal</v>
      </c>
      <c r="Q71" s="10" t="str">
        <f>'1a FASE'!Q72</f>
        <v>Villarreal</v>
      </c>
      <c r="R71" s="10" t="str">
        <f>'1a FASE'!R72</f>
        <v>Villarreal</v>
      </c>
      <c r="S71" s="10" t="str">
        <f>'1a FASE'!S72</f>
        <v>Empate</v>
      </c>
      <c r="T71" s="10" t="str">
        <f>'1a FASE'!T72</f>
        <v>Empate</v>
      </c>
      <c r="U71" s="10" t="str">
        <f>'1a FASE'!U72</f>
        <v>Empate</v>
      </c>
      <c r="V71" s="10" t="str">
        <f>'1a FASE'!V72</f>
        <v>Villarreal</v>
      </c>
      <c r="W71" s="10" t="str">
        <f>'1a FASE'!W72</f>
        <v>Villarreal</v>
      </c>
      <c r="X71" s="10">
        <f>+IF(C71=$B71,Pesos!$L$3,0)*IF(COUNTIF($C71:$W71,C71)=1,2,1)</f>
        <v>0</v>
      </c>
      <c r="Y71" s="10">
        <f>+IF(D71=$B71,Pesos!$L$3,0)*IF(COUNTIF($C71:$W71,D71)=1,2,1)</f>
        <v>0</v>
      </c>
      <c r="Z71" s="10">
        <f>+IF(E71=$B71,Pesos!$L$3,0)*IF(COUNTIF($C71:$W71,E71)=1,2,1)</f>
        <v>0</v>
      </c>
      <c r="AA71" s="10">
        <f>+IF(F71=$B71,Pesos!$L$3,0)*IF(COUNTIF($C71:$W71,F71)=1,2,1)</f>
        <v>0</v>
      </c>
      <c r="AB71" s="10">
        <f>+IF(G71=$B71,Pesos!$L$3,0)*IF(COUNTIF($C71:$W71,G71)=1,2,1)</f>
        <v>0</v>
      </c>
      <c r="AC71" s="10">
        <f>+IF(H71=$B71,Pesos!$L$3,0)*IF(COUNTIF($C71:$W71,H71)=1,2,1)</f>
        <v>0</v>
      </c>
      <c r="AD71" s="10">
        <f>+IF(I71=$B71,Pesos!$L$3,0)*IF(COUNTIF($C71:$W71,I71)=1,2,1)</f>
        <v>0</v>
      </c>
      <c r="AE71" s="10">
        <f>+IF(J71=$B71,Pesos!$L$3,0)*IF(COUNTIF($C71:$W71,J71)=1,2,1)</f>
        <v>0</v>
      </c>
      <c r="AF71" s="10">
        <f>+IF(K71=$B71,Pesos!$L$3,0)*IF(COUNTIF($C71:$W71,K71)=1,2,1)</f>
        <v>0</v>
      </c>
      <c r="AG71" s="10">
        <f>+IF(L71=$B71,Pesos!$L$3,0)*IF(COUNTIF($C71:$W71,L71)=1,2,1)</f>
        <v>0</v>
      </c>
      <c r="AH71" s="10">
        <f>+IF(M71=$B71,Pesos!$L$3,0)*IF(COUNTIF($C71:$W71,M71)=1,2,1)</f>
        <v>0</v>
      </c>
      <c r="AI71" s="10">
        <f>+IF(N71=$B71,Pesos!$L$3,0)*IF(COUNTIF($C71:$W71,N71)=1,2,1)</f>
        <v>0</v>
      </c>
      <c r="AJ71" s="10">
        <f>+IF(O71=$B71,Pesos!$L$3,0)*IF(COUNTIF($C71:$W71,O71)=1,2,1)</f>
        <v>0</v>
      </c>
      <c r="AK71" s="10">
        <f>+IF(P71=$B71,Pesos!$L$3,0)*IF(COUNTIF($C71:$W71,P71)=1,2,1)</f>
        <v>0</v>
      </c>
      <c r="AL71" s="10">
        <f>+IF(Q71=$B71,Pesos!$L$3,0)*IF(COUNTIF($C71:$W71,Q71)=1,2,1)</f>
        <v>0</v>
      </c>
      <c r="AM71" s="10">
        <f>+IF(R71=$B71,Pesos!$L$3,0)*IF(COUNTIF($C71:$W71,R71)=1,2,1)</f>
        <v>0</v>
      </c>
      <c r="AN71" s="10">
        <f>+IF(S71=$B71,Pesos!$L$3,0)*IF(COUNTIF($C71:$W71,S71)=1,2,1)</f>
        <v>0</v>
      </c>
      <c r="AO71" s="10">
        <f>+IF(T71=$B71,Pesos!$L$3,0)*IF(COUNTIF($C71:$W71,T71)=1,2,1)</f>
        <v>0</v>
      </c>
      <c r="AP71" s="10">
        <f>+IF(U71=$B71,Pesos!$L$3,0)*IF(COUNTIF($C71:$W71,U71)=1,2,1)</f>
        <v>0</v>
      </c>
      <c r="AQ71" s="10">
        <f>+IF(V71=$B71,Pesos!$L$3,0)*IF(COUNTIF($C71:$W71,V71)=1,2,1)</f>
        <v>0</v>
      </c>
      <c r="AR71" s="10">
        <f>+IF(W71=$B71,Pesos!$L$3,0)*IF(COUNTIF($C71:$W71,W71)=1,2,1)</f>
        <v>0</v>
      </c>
    </row>
    <row r="72" ht="12.75" customHeight="1">
      <c r="A72" s="1" t="str">
        <f>'1a FASE'!A71</f>
        <v>Machtday 4</v>
      </c>
      <c r="B72" s="8" t="str">
        <f>'1a FASE'!B73</f>
        <v>Manchester City</v>
      </c>
      <c r="C72" s="11" t="str">
        <f>'1a FASE'!C73</f>
        <v>Manchester City</v>
      </c>
      <c r="D72" s="11" t="str">
        <f>'1a FASE'!D73</f>
        <v>Manchester City</v>
      </c>
      <c r="E72" s="11" t="str">
        <f>'1a FASE'!E73</f>
        <v>Manchester City</v>
      </c>
      <c r="F72" s="11" t="str">
        <f>'1a FASE'!F73</f>
        <v>Manchester City</v>
      </c>
      <c r="G72" s="11" t="str">
        <f>'1a FASE'!G73</f>
        <v>Manchester City</v>
      </c>
      <c r="H72" s="11" t="str">
        <f>'1a FASE'!H73</f>
        <v>Borussia Dortmund</v>
      </c>
      <c r="I72" s="11" t="str">
        <f>'1a FASE'!I73</f>
        <v>Manchester City</v>
      </c>
      <c r="J72" s="11" t="str">
        <f>'1a FASE'!J73</f>
        <v>Manchester City</v>
      </c>
      <c r="K72" s="11" t="str">
        <f>'1a FASE'!K73</f>
        <v>Manchester City</v>
      </c>
      <c r="L72" s="11" t="str">
        <f>'1a FASE'!L73</f>
        <v>Manchester City</v>
      </c>
      <c r="M72" s="11" t="str">
        <f>'1a FASE'!M73</f>
        <v>Manchester City</v>
      </c>
      <c r="N72" s="11" t="str">
        <f>'1a FASE'!N73</f>
        <v>Manchester City</v>
      </c>
      <c r="O72" s="11" t="str">
        <f>'1a FASE'!O73</f>
        <v>Empate</v>
      </c>
      <c r="P72" s="11" t="str">
        <f>'1a FASE'!P73</f>
        <v>Manchester City</v>
      </c>
      <c r="Q72" s="11" t="str">
        <f>'1a FASE'!Q73</f>
        <v>Manchester City</v>
      </c>
      <c r="R72" s="11" t="str">
        <f>'1a FASE'!R73</f>
        <v>Manchester City</v>
      </c>
      <c r="S72" s="11" t="str">
        <f>'1a FASE'!S73</f>
        <v>Manchester City</v>
      </c>
      <c r="T72" s="11" t="str">
        <f>'1a FASE'!T73</f>
        <v>Manchester City</v>
      </c>
      <c r="U72" s="11" t="str">
        <f>'1a FASE'!U73</f>
        <v>Manchester City</v>
      </c>
      <c r="V72" s="11" t="str">
        <f>'1a FASE'!V73</f>
        <v>Manchester City</v>
      </c>
      <c r="W72" s="11" t="str">
        <f>'1a FASE'!W73</f>
        <v>Manchester City</v>
      </c>
      <c r="X72" s="11">
        <f>+IF(C72=$B72,Pesos!$L$3,0)*IF(COUNTIF($C72:$W72,C72)=1,2,1)</f>
        <v>0.85</v>
      </c>
      <c r="Y72" s="11">
        <f>+IF(D72=$B72,Pesos!$L$3,0)*IF(COUNTIF($C72:$W72,D72)=1,2,1)</f>
        <v>0.85</v>
      </c>
      <c r="Z72" s="11">
        <f>+IF(E72=$B72,Pesos!$L$3,0)*IF(COUNTIF($C72:$W72,E72)=1,2,1)</f>
        <v>0.85</v>
      </c>
      <c r="AA72" s="11">
        <f>+IF(F72=$B72,Pesos!$L$3,0)*IF(COUNTIF($C72:$W72,F72)=1,2,1)</f>
        <v>0.85</v>
      </c>
      <c r="AB72" s="11">
        <f>+IF(G72=$B72,Pesos!$L$3,0)*IF(COUNTIF($C72:$W72,G72)=1,2,1)</f>
        <v>0.85</v>
      </c>
      <c r="AC72" s="11">
        <f>+IF(H72=$B72,Pesos!$L$3,0)*IF(COUNTIF($C72:$W72,H72)=1,2,1)</f>
        <v>0</v>
      </c>
      <c r="AD72" s="11">
        <f>+IF(I72=$B72,Pesos!$L$3,0)*IF(COUNTIF($C72:$W72,I72)=1,2,1)</f>
        <v>0.85</v>
      </c>
      <c r="AE72" s="11">
        <f>+IF(J72=$B72,Pesos!$L$3,0)*IF(COUNTIF($C72:$W72,J72)=1,2,1)</f>
        <v>0.85</v>
      </c>
      <c r="AF72" s="11">
        <f>+IF(K72=$B72,Pesos!$L$3,0)*IF(COUNTIF($C72:$W72,K72)=1,2,1)</f>
        <v>0.85</v>
      </c>
      <c r="AG72" s="11">
        <f>+IF(L72=$B72,Pesos!$L$3,0)*IF(COUNTIF($C72:$W72,L72)=1,2,1)</f>
        <v>0.85</v>
      </c>
      <c r="AH72" s="11">
        <f>+IF(M72=$B72,Pesos!$L$3,0)*IF(COUNTIF($C72:$W72,M72)=1,2,1)</f>
        <v>0.85</v>
      </c>
      <c r="AI72" s="11">
        <f>+IF(N72=$B72,Pesos!$L$3,0)*IF(COUNTIF($C72:$W72,N72)=1,2,1)</f>
        <v>0.85</v>
      </c>
      <c r="AJ72" s="11">
        <f>+IF(O72=$B72,Pesos!$L$3,0)*IF(COUNTIF($C72:$W72,O72)=1,2,1)</f>
        <v>0</v>
      </c>
      <c r="AK72" s="11">
        <f>+IF(P72=$B72,Pesos!$L$3,0)*IF(COUNTIF($C72:$W72,P72)=1,2,1)</f>
        <v>0.85</v>
      </c>
      <c r="AL72" s="11">
        <f>+IF(Q72=$B72,Pesos!$L$3,0)*IF(COUNTIF($C72:$W72,Q72)=1,2,1)</f>
        <v>0.85</v>
      </c>
      <c r="AM72" s="11">
        <f>+IF(R72=$B72,Pesos!$L$3,0)*IF(COUNTIF($C72:$W72,R72)=1,2,1)</f>
        <v>0.85</v>
      </c>
      <c r="AN72" s="11">
        <f>+IF(S72=$B72,Pesos!$L$3,0)*IF(COUNTIF($C72:$W72,S72)=1,2,1)</f>
        <v>0.85</v>
      </c>
      <c r="AO72" s="11">
        <f>+IF(T72=$B72,Pesos!$L$3,0)*IF(COUNTIF($C72:$W72,T72)=1,2,1)</f>
        <v>0.85</v>
      </c>
      <c r="AP72" s="11">
        <f>+IF(U72=$B72,Pesos!$L$3,0)*IF(COUNTIF($C72:$W72,U72)=1,2,1)</f>
        <v>0.85</v>
      </c>
      <c r="AQ72" s="11">
        <f>+IF(V72=$B72,Pesos!$L$3,0)*IF(COUNTIF($C72:$W72,V72)=1,2,1)</f>
        <v>0.85</v>
      </c>
      <c r="AR72" s="11">
        <f>+IF(W72=$B72,Pesos!$L$3,0)*IF(COUNTIF($C72:$W72,W72)=1,2,1)</f>
        <v>0.85</v>
      </c>
    </row>
    <row r="73" ht="12.75" customHeight="1">
      <c r="A73" s="1" t="str">
        <f>'1a FASE'!A72</f>
        <v>Machtday 4</v>
      </c>
      <c r="B73" s="8" t="str">
        <f>'1a FASE'!B74</f>
        <v>Internazionale</v>
      </c>
      <c r="C73" s="10" t="str">
        <f>'1a FASE'!C74</f>
        <v>Internazionale</v>
      </c>
      <c r="D73" s="10" t="str">
        <f>'1a FASE'!D74</f>
        <v>Internazionale</v>
      </c>
      <c r="E73" s="10" t="str">
        <f>'1a FASE'!E74</f>
        <v>Internazionale</v>
      </c>
      <c r="F73" s="10" t="str">
        <f>'1a FASE'!F74</f>
        <v>Internazionale</v>
      </c>
      <c r="G73" s="10" t="str">
        <f>'1a FASE'!G74</f>
        <v>Internazionale</v>
      </c>
      <c r="H73" s="10" t="str">
        <f>'1a FASE'!H74</f>
        <v>Internazionale</v>
      </c>
      <c r="I73" s="10" t="str">
        <f>'1a FASE'!I74</f>
        <v>Internazionale</v>
      </c>
      <c r="J73" s="10" t="str">
        <f>'1a FASE'!J74</f>
        <v>Internazionale</v>
      </c>
      <c r="K73" s="10" t="str">
        <f>'1a FASE'!K74</f>
        <v>Internazionale</v>
      </c>
      <c r="L73" s="10" t="str">
        <f>'1a FASE'!L74</f>
        <v>Internazionale</v>
      </c>
      <c r="M73" s="10" t="str">
        <f>'1a FASE'!M74</f>
        <v>Internazionale</v>
      </c>
      <c r="N73" s="10" t="str">
        <f>'1a FASE'!N74</f>
        <v>Internazionale</v>
      </c>
      <c r="O73" s="10" t="str">
        <f>'1a FASE'!O74</f>
        <v>Internazionale</v>
      </c>
      <c r="P73" s="10" t="str">
        <f>'1a FASE'!P74</f>
        <v>Internazionale</v>
      </c>
      <c r="Q73" s="10" t="str">
        <f>'1a FASE'!Q74</f>
        <v>Internazionale</v>
      </c>
      <c r="R73" s="10" t="str">
        <f>'1a FASE'!R74</f>
        <v>Internazionale</v>
      </c>
      <c r="S73" s="10" t="str">
        <f>'1a FASE'!S74</f>
        <v>Internazionale</v>
      </c>
      <c r="T73" s="10" t="str">
        <f>'1a FASE'!T74</f>
        <v>Internazionale</v>
      </c>
      <c r="U73" s="10" t="str">
        <f>'1a FASE'!U74</f>
        <v>Internazionale</v>
      </c>
      <c r="V73" s="10" t="str">
        <f>'1a FASE'!V74</f>
        <v>Internazionale</v>
      </c>
      <c r="W73" s="10" t="str">
        <f>'1a FASE'!W74</f>
        <v>Internazionale</v>
      </c>
      <c r="X73" s="10">
        <f>+IF(C73=$B73,Pesos!$L$3,0)*IF(COUNTIF($C73:$W73,C73)=1,2,1)</f>
        <v>0.85</v>
      </c>
      <c r="Y73" s="10">
        <f>+IF(D73=$B73,Pesos!$L$3,0)*IF(COUNTIF($C73:$W73,D73)=1,2,1)</f>
        <v>0.85</v>
      </c>
      <c r="Z73" s="10">
        <f>+IF(E73=$B73,Pesos!$L$3,0)*IF(COUNTIF($C73:$W73,E73)=1,2,1)</f>
        <v>0.85</v>
      </c>
      <c r="AA73" s="10">
        <f>+IF(F73=$B73,Pesos!$L$3,0)*IF(COUNTIF($C73:$W73,F73)=1,2,1)</f>
        <v>0.85</v>
      </c>
      <c r="AB73" s="10">
        <f>+IF(G73=$B73,Pesos!$L$3,0)*IF(COUNTIF($C73:$W73,G73)=1,2,1)</f>
        <v>0.85</v>
      </c>
      <c r="AC73" s="10">
        <f>+IF(H73=$B73,Pesos!$L$3,0)*IF(COUNTIF($C73:$W73,H73)=1,2,1)</f>
        <v>0.85</v>
      </c>
      <c r="AD73" s="10">
        <f>+IF(I73=$B73,Pesos!$L$3,0)*IF(COUNTIF($C73:$W73,I73)=1,2,1)</f>
        <v>0.85</v>
      </c>
      <c r="AE73" s="10">
        <f>+IF(J73=$B73,Pesos!$L$3,0)*IF(COUNTIF($C73:$W73,J73)=1,2,1)</f>
        <v>0.85</v>
      </c>
      <c r="AF73" s="10">
        <f>+IF(K73=$B73,Pesos!$L$3,0)*IF(COUNTIF($C73:$W73,K73)=1,2,1)</f>
        <v>0.85</v>
      </c>
      <c r="AG73" s="10">
        <f>+IF(L73=$B73,Pesos!$L$3,0)*IF(COUNTIF($C73:$W73,L73)=1,2,1)</f>
        <v>0.85</v>
      </c>
      <c r="AH73" s="10">
        <f>+IF(M73=$B73,Pesos!$L$3,0)*IF(COUNTIF($C73:$W73,M73)=1,2,1)</f>
        <v>0.85</v>
      </c>
      <c r="AI73" s="10">
        <f>+IF(N73=$B73,Pesos!$L$3,0)*IF(COUNTIF($C73:$W73,N73)=1,2,1)</f>
        <v>0.85</v>
      </c>
      <c r="AJ73" s="10">
        <f>+IF(O73=$B73,Pesos!$L$3,0)*IF(COUNTIF($C73:$W73,O73)=1,2,1)</f>
        <v>0.85</v>
      </c>
      <c r="AK73" s="10">
        <f>+IF(P73=$B73,Pesos!$L$3,0)*IF(COUNTIF($C73:$W73,P73)=1,2,1)</f>
        <v>0.85</v>
      </c>
      <c r="AL73" s="10">
        <f>+IF(Q73=$B73,Pesos!$L$3,0)*IF(COUNTIF($C73:$W73,Q73)=1,2,1)</f>
        <v>0.85</v>
      </c>
      <c r="AM73" s="10">
        <f>+IF(R73=$B73,Pesos!$L$3,0)*IF(COUNTIF($C73:$W73,R73)=1,2,1)</f>
        <v>0.85</v>
      </c>
      <c r="AN73" s="10">
        <f>+IF(S73=$B73,Pesos!$L$3,0)*IF(COUNTIF($C73:$W73,S73)=1,2,1)</f>
        <v>0.85</v>
      </c>
      <c r="AO73" s="10">
        <f>+IF(T73=$B73,Pesos!$L$3,0)*IF(COUNTIF($C73:$W73,T73)=1,2,1)</f>
        <v>0.85</v>
      </c>
      <c r="AP73" s="10">
        <f>+IF(U73=$B73,Pesos!$L$3,0)*IF(COUNTIF($C73:$W73,U73)=1,2,1)</f>
        <v>0.85</v>
      </c>
      <c r="AQ73" s="10">
        <f>+IF(V73=$B73,Pesos!$L$3,0)*IF(COUNTIF($C73:$W73,V73)=1,2,1)</f>
        <v>0.85</v>
      </c>
      <c r="AR73" s="10">
        <f>+IF(W73=$B73,Pesos!$L$3,0)*IF(COUNTIF($C73:$W73,W73)=1,2,1)</f>
        <v>0.85</v>
      </c>
    </row>
    <row r="74" ht="12.75" customHeight="1">
      <c r="A74" s="1" t="str">
        <f>'1a FASE'!A73</f>
        <v>Machtday 4</v>
      </c>
      <c r="B74" s="8" t="str">
        <f>'1a FASE'!B75</f>
        <v>Bayer Leverkusen</v>
      </c>
      <c r="C74" s="11" t="str">
        <f>'1a FASE'!C75</f>
        <v>Benfica</v>
      </c>
      <c r="D74" s="11" t="str">
        <f>'1a FASE'!D75</f>
        <v>Empate</v>
      </c>
      <c r="E74" s="11" t="str">
        <f>'1a FASE'!E75</f>
        <v>Benfica</v>
      </c>
      <c r="F74" s="11" t="str">
        <f>'1a FASE'!F75</f>
        <v>Empate</v>
      </c>
      <c r="G74" s="11" t="str">
        <f>'1a FASE'!G75</f>
        <v>Benfica</v>
      </c>
      <c r="H74" s="11" t="str">
        <f>'1a FASE'!H75</f>
        <v>Benfica</v>
      </c>
      <c r="I74" s="11" t="str">
        <f>'1a FASE'!I75</f>
        <v>Benfica</v>
      </c>
      <c r="J74" s="11" t="str">
        <f>'1a FASE'!J75</f>
        <v>Empate</v>
      </c>
      <c r="K74" s="11" t="str">
        <f>'1a FASE'!K75</f>
        <v>Benfica</v>
      </c>
      <c r="L74" s="11" t="str">
        <f>'1a FASE'!L75</f>
        <v>Empate</v>
      </c>
      <c r="M74" s="11" t="str">
        <f>'1a FASE'!M75</f>
        <v>Benfica</v>
      </c>
      <c r="N74" s="11" t="str">
        <f>'1a FASE'!N75</f>
        <v>Benfica</v>
      </c>
      <c r="O74" s="11" t="str">
        <f>'1a FASE'!O75</f>
        <v>Empate</v>
      </c>
      <c r="P74" s="11" t="str">
        <f>'1a FASE'!P75</f>
        <v>Benfica</v>
      </c>
      <c r="Q74" s="11" t="str">
        <f>'1a FASE'!Q75</f>
        <v>Bayer Leverkusen</v>
      </c>
      <c r="R74" s="11" t="str">
        <f>'1a FASE'!R75</f>
        <v>Benfica</v>
      </c>
      <c r="S74" s="11" t="str">
        <f>'1a FASE'!S75</f>
        <v>Benfica</v>
      </c>
      <c r="T74" s="11" t="str">
        <f>'1a FASE'!T75</f>
        <v>Benfica</v>
      </c>
      <c r="U74" s="11" t="str">
        <f>'1a FASE'!U75</f>
        <v>Bayer Leverkusen</v>
      </c>
      <c r="V74" s="11" t="str">
        <f>'1a FASE'!V75</f>
        <v>Benfica</v>
      </c>
      <c r="W74" s="11" t="str">
        <f>'1a FASE'!W75</f>
        <v>Empate</v>
      </c>
      <c r="X74" s="11">
        <f>+IF(C74=$B74,Pesos!$L$3,0)*IF(COUNTIF($C74:$W74,C74)=1,2,1)</f>
        <v>0</v>
      </c>
      <c r="Y74" s="11">
        <f>+IF(D74=$B74,Pesos!$L$3,0)*IF(COUNTIF($C74:$W74,D74)=1,2,1)</f>
        <v>0</v>
      </c>
      <c r="Z74" s="11">
        <f>+IF(E74=$B74,Pesos!$L$3,0)*IF(COUNTIF($C74:$W74,E74)=1,2,1)</f>
        <v>0</v>
      </c>
      <c r="AA74" s="11">
        <f>+IF(F74=$B74,Pesos!$L$3,0)*IF(COUNTIF($C74:$W74,F74)=1,2,1)</f>
        <v>0</v>
      </c>
      <c r="AB74" s="11">
        <f>+IF(G74=$B74,Pesos!$L$3,0)*IF(COUNTIF($C74:$W74,G74)=1,2,1)</f>
        <v>0</v>
      </c>
      <c r="AC74" s="11">
        <f>+IF(H74=$B74,Pesos!$L$3,0)*IF(COUNTIF($C74:$W74,H74)=1,2,1)</f>
        <v>0</v>
      </c>
      <c r="AD74" s="11">
        <f>+IF(I74=$B74,Pesos!$L$3,0)*IF(COUNTIF($C74:$W74,I74)=1,2,1)</f>
        <v>0</v>
      </c>
      <c r="AE74" s="11">
        <f>+IF(J74=$B74,Pesos!$L$3,0)*IF(COUNTIF($C74:$W74,J74)=1,2,1)</f>
        <v>0</v>
      </c>
      <c r="AF74" s="11">
        <f>+IF(K74=$B74,Pesos!$L$3,0)*IF(COUNTIF($C74:$W74,K74)=1,2,1)</f>
        <v>0</v>
      </c>
      <c r="AG74" s="11">
        <f>+IF(L74=$B74,Pesos!$L$3,0)*IF(COUNTIF($C74:$W74,L74)=1,2,1)</f>
        <v>0</v>
      </c>
      <c r="AH74" s="11">
        <f>+IF(M74=$B74,Pesos!$L$3,0)*IF(COUNTIF($C74:$W74,M74)=1,2,1)</f>
        <v>0</v>
      </c>
      <c r="AI74" s="11">
        <f>+IF(N74=$B74,Pesos!$L$3,0)*IF(COUNTIF($C74:$W74,N74)=1,2,1)</f>
        <v>0</v>
      </c>
      <c r="AJ74" s="11">
        <f>+IF(O74=$B74,Pesos!$L$3,0)*IF(COUNTIF($C74:$W74,O74)=1,2,1)</f>
        <v>0</v>
      </c>
      <c r="AK74" s="11">
        <f>+IF(P74=$B74,Pesos!$L$3,0)*IF(COUNTIF($C74:$W74,P74)=1,2,1)</f>
        <v>0</v>
      </c>
      <c r="AL74" s="11">
        <f>+IF(Q74=$B74,Pesos!$L$3,0)*IF(COUNTIF($C74:$W74,Q74)=1,2,1)</f>
        <v>0.85</v>
      </c>
      <c r="AM74" s="11">
        <f>+IF(R74=$B74,Pesos!$L$3,0)*IF(COUNTIF($C74:$W74,R74)=1,2,1)</f>
        <v>0</v>
      </c>
      <c r="AN74" s="11">
        <f>+IF(S74=$B74,Pesos!$L$3,0)*IF(COUNTIF($C74:$W74,S74)=1,2,1)</f>
        <v>0</v>
      </c>
      <c r="AO74" s="11">
        <f>+IF(T74=$B74,Pesos!$L$3,0)*IF(COUNTIF($C74:$W74,T74)=1,2,1)</f>
        <v>0</v>
      </c>
      <c r="AP74" s="11">
        <f>+IF(U74=$B74,Pesos!$L$3,0)*IF(COUNTIF($C74:$W74,U74)=1,2,1)</f>
        <v>0.85</v>
      </c>
      <c r="AQ74" s="11">
        <f>+IF(V74=$B74,Pesos!$L$3,0)*IF(COUNTIF($C74:$W74,V74)=1,2,1)</f>
        <v>0</v>
      </c>
      <c r="AR74" s="11">
        <f>+IF(W74=$B74,Pesos!$L$3,0)*IF(COUNTIF($C74:$W74,W74)=1,2,1)</f>
        <v>0</v>
      </c>
    </row>
    <row r="75" ht="12.75" customHeight="1">
      <c r="A75" s="1" t="str">
        <f>'1a FASE'!A74</f>
        <v>Machtday 4</v>
      </c>
      <c r="B75" s="8" t="str">
        <f>'1a FASE'!B76</f>
        <v>Empate</v>
      </c>
      <c r="C75" s="10" t="str">
        <f>'1a FASE'!C76</f>
        <v>Barcelona</v>
      </c>
      <c r="D75" s="10" t="str">
        <f>'1a FASE'!D76</f>
        <v>Barcelona</v>
      </c>
      <c r="E75" s="10" t="str">
        <f>'1a FASE'!E76</f>
        <v>Barcelona</v>
      </c>
      <c r="F75" s="10" t="str">
        <f>'1a FASE'!F76</f>
        <v>Barcelona</v>
      </c>
      <c r="G75" s="10" t="str">
        <f>'1a FASE'!G76</f>
        <v>Barcelona</v>
      </c>
      <c r="H75" s="10" t="str">
        <f>'1a FASE'!H76</f>
        <v>Barcelona</v>
      </c>
      <c r="I75" s="10" t="str">
        <f>'1a FASE'!I76</f>
        <v>Barcelona</v>
      </c>
      <c r="J75" s="10" t="str">
        <f>'1a FASE'!J76</f>
        <v>Barcelona</v>
      </c>
      <c r="K75" s="10" t="str">
        <f>'1a FASE'!K76</f>
        <v>Barcelona</v>
      </c>
      <c r="L75" s="10" t="str">
        <f>'1a FASE'!L76</f>
        <v>Barcelona</v>
      </c>
      <c r="M75" s="10" t="str">
        <f>'1a FASE'!M76</f>
        <v>Barcelona</v>
      </c>
      <c r="N75" s="10" t="str">
        <f>'1a FASE'!N76</f>
        <v>Barcelona</v>
      </c>
      <c r="O75" s="10" t="str">
        <f>'1a FASE'!O76</f>
        <v>Barcelona</v>
      </c>
      <c r="P75" s="10" t="str">
        <f>'1a FASE'!P76</f>
        <v>Barcelona</v>
      </c>
      <c r="Q75" s="10" t="str">
        <f>'1a FASE'!Q76</f>
        <v>Barcelona</v>
      </c>
      <c r="R75" s="10" t="str">
        <f>'1a FASE'!R76</f>
        <v>Barcelona</v>
      </c>
      <c r="S75" s="10" t="str">
        <f>'1a FASE'!S76</f>
        <v>Barcelona</v>
      </c>
      <c r="T75" s="10" t="str">
        <f>'1a FASE'!T76</f>
        <v>Club Brugge</v>
      </c>
      <c r="U75" s="10" t="str">
        <f>'1a FASE'!U76</f>
        <v>Barcelona</v>
      </c>
      <c r="V75" s="10" t="str">
        <f>'1a FASE'!V76</f>
        <v>Barcelona</v>
      </c>
      <c r="W75" s="10" t="str">
        <f>'1a FASE'!W76</f>
        <v>Barcelona</v>
      </c>
      <c r="X75" s="10">
        <f>+IF(C75=$B75,Pesos!$L$3,0)*IF(COUNTIF($C75:$W75,C75)=1,2,1)</f>
        <v>0</v>
      </c>
      <c r="Y75" s="10">
        <f>+IF(D75=$B75,Pesos!$L$3,0)*IF(COUNTIF($C75:$W75,D75)=1,2,1)</f>
        <v>0</v>
      </c>
      <c r="Z75" s="10">
        <f>+IF(E75=$B75,Pesos!$L$3,0)*IF(COUNTIF($C75:$W75,E75)=1,2,1)</f>
        <v>0</v>
      </c>
      <c r="AA75" s="10">
        <f>+IF(F75=$B75,Pesos!$L$3,0)*IF(COUNTIF($C75:$W75,F75)=1,2,1)</f>
        <v>0</v>
      </c>
      <c r="AB75" s="10">
        <f>+IF(G75=$B75,Pesos!$L$3,0)*IF(COUNTIF($C75:$W75,G75)=1,2,1)</f>
        <v>0</v>
      </c>
      <c r="AC75" s="10">
        <f>+IF(H75=$B75,Pesos!$L$3,0)*IF(COUNTIF($C75:$W75,H75)=1,2,1)</f>
        <v>0</v>
      </c>
      <c r="AD75" s="10">
        <f>+IF(I75=$B75,Pesos!$L$3,0)*IF(COUNTIF($C75:$W75,I75)=1,2,1)</f>
        <v>0</v>
      </c>
      <c r="AE75" s="10">
        <f>+IF(J75=$B75,Pesos!$L$3,0)*IF(COUNTIF($C75:$W75,J75)=1,2,1)</f>
        <v>0</v>
      </c>
      <c r="AF75" s="10">
        <f>+IF(K75=$B75,Pesos!$L$3,0)*IF(COUNTIF($C75:$W75,K75)=1,2,1)</f>
        <v>0</v>
      </c>
      <c r="AG75" s="10">
        <f>+IF(L75=$B75,Pesos!$L$3,0)*IF(COUNTIF($C75:$W75,L75)=1,2,1)</f>
        <v>0</v>
      </c>
      <c r="AH75" s="10">
        <f>+IF(M75=$B75,Pesos!$L$3,0)*IF(COUNTIF($C75:$W75,M75)=1,2,1)</f>
        <v>0</v>
      </c>
      <c r="AI75" s="10">
        <f>+IF(N75=$B75,Pesos!$L$3,0)*IF(COUNTIF($C75:$W75,N75)=1,2,1)</f>
        <v>0</v>
      </c>
      <c r="AJ75" s="10">
        <f>+IF(O75=$B75,Pesos!$L$3,0)*IF(COUNTIF($C75:$W75,O75)=1,2,1)</f>
        <v>0</v>
      </c>
      <c r="AK75" s="10">
        <f>+IF(P75=$B75,Pesos!$L$3,0)*IF(COUNTIF($C75:$W75,P75)=1,2,1)</f>
        <v>0</v>
      </c>
      <c r="AL75" s="10">
        <f>+IF(Q75=$B75,Pesos!$L$3,0)*IF(COUNTIF($C75:$W75,Q75)=1,2,1)</f>
        <v>0</v>
      </c>
      <c r="AM75" s="10">
        <f>+IF(R75=$B75,Pesos!$L$3,0)*IF(COUNTIF($C75:$W75,R75)=1,2,1)</f>
        <v>0</v>
      </c>
      <c r="AN75" s="10">
        <f>+IF(S75=$B75,Pesos!$L$3,0)*IF(COUNTIF($C75:$W75,S75)=1,2,1)</f>
        <v>0</v>
      </c>
      <c r="AO75" s="10">
        <f>+IF(T75=$B75,Pesos!$L$3,0)*IF(COUNTIF($C75:$W75,T75)=1,2,1)</f>
        <v>0</v>
      </c>
      <c r="AP75" s="10">
        <f>+IF(U75=$B75,Pesos!$L$3,0)*IF(COUNTIF($C75:$W75,U75)=1,2,1)</f>
        <v>0</v>
      </c>
      <c r="AQ75" s="10">
        <f>+IF(V75=$B75,Pesos!$L$3,0)*IF(COUNTIF($C75:$W75,V75)=1,2,1)</f>
        <v>0</v>
      </c>
      <c r="AR75" s="10">
        <f>+IF(W75=$B75,Pesos!$L$3,0)*IF(COUNTIF($C75:$W75,W75)=1,2,1)</f>
        <v>0</v>
      </c>
    </row>
    <row r="76" ht="12.75" customHeight="1">
      <c r="A76" s="1" t="str">
        <f>'1a FASE'!A75</f>
        <v>Machtday 4</v>
      </c>
      <c r="B76" s="8" t="str">
        <f>'1a FASE'!B77</f>
        <v>Galatasaray</v>
      </c>
      <c r="C76" s="11" t="str">
        <f>'1a FASE'!C77</f>
        <v>Empate</v>
      </c>
      <c r="D76" s="11" t="str">
        <f>'1a FASE'!D77</f>
        <v>Ajax</v>
      </c>
      <c r="E76" s="11" t="str">
        <f>'1a FASE'!E77</f>
        <v>Ajax</v>
      </c>
      <c r="F76" s="11" t="str">
        <f>'1a FASE'!F77</f>
        <v>Ajax</v>
      </c>
      <c r="G76" s="11" t="str">
        <f>'1a FASE'!G77</f>
        <v>Ajax</v>
      </c>
      <c r="H76" s="11" t="str">
        <f>'1a FASE'!H77</f>
        <v>Ajax</v>
      </c>
      <c r="I76" s="11" t="str">
        <f>'1a FASE'!I77</f>
        <v>Ajax</v>
      </c>
      <c r="J76" s="11" t="str">
        <f>'1a FASE'!J77</f>
        <v>Ajax</v>
      </c>
      <c r="K76" s="11" t="str">
        <f>'1a FASE'!K77</f>
        <v>Ajax</v>
      </c>
      <c r="L76" s="11" t="str">
        <f>'1a FASE'!L77</f>
        <v>Ajax</v>
      </c>
      <c r="M76" s="11" t="str">
        <f>'1a FASE'!M77</f>
        <v>Ajax</v>
      </c>
      <c r="N76" s="11" t="str">
        <f>'1a FASE'!N77</f>
        <v>Ajax</v>
      </c>
      <c r="O76" s="11" t="str">
        <f>'1a FASE'!O77</f>
        <v>Ajax</v>
      </c>
      <c r="P76" s="11" t="str">
        <f>'1a FASE'!P77</f>
        <v>Ajax</v>
      </c>
      <c r="Q76" s="11" t="str">
        <f>'1a FASE'!Q77</f>
        <v>Ajax</v>
      </c>
      <c r="R76" s="11" t="str">
        <f>'1a FASE'!R77</f>
        <v>Ajax</v>
      </c>
      <c r="S76" s="11" t="str">
        <f>'1a FASE'!S77</f>
        <v>Ajax</v>
      </c>
      <c r="T76" s="11" t="str">
        <f>'1a FASE'!T77</f>
        <v>Ajax</v>
      </c>
      <c r="U76" s="11" t="str">
        <f>'1a FASE'!U77</f>
        <v>Ajax</v>
      </c>
      <c r="V76" s="11" t="str">
        <f>'1a FASE'!V77</f>
        <v>Galatasaray</v>
      </c>
      <c r="W76" s="11" t="str">
        <f>'1a FASE'!W77</f>
        <v>Empate</v>
      </c>
      <c r="X76" s="11">
        <f>+IF(C76=$B76,Pesos!$L$3,0)*IF(COUNTIF($C76:$W76,C76)=1,2,1)</f>
        <v>0</v>
      </c>
      <c r="Y76" s="11">
        <f>+IF(D76=$B76,Pesos!$L$3,0)*IF(COUNTIF($C76:$W76,D76)=1,2,1)</f>
        <v>0</v>
      </c>
      <c r="Z76" s="11">
        <f>+IF(E76=$B76,Pesos!$L$3,0)*IF(COUNTIF($C76:$W76,E76)=1,2,1)</f>
        <v>0</v>
      </c>
      <c r="AA76" s="11">
        <f>+IF(F76=$B76,Pesos!$L$3,0)*IF(COUNTIF($C76:$W76,F76)=1,2,1)</f>
        <v>0</v>
      </c>
      <c r="AB76" s="11">
        <f>+IF(G76=$B76,Pesos!$L$3,0)*IF(COUNTIF($C76:$W76,G76)=1,2,1)</f>
        <v>0</v>
      </c>
      <c r="AC76" s="11">
        <f>+IF(H76=$B76,Pesos!$L$3,0)*IF(COUNTIF($C76:$W76,H76)=1,2,1)</f>
        <v>0</v>
      </c>
      <c r="AD76" s="11">
        <f>+IF(I76=$B76,Pesos!$L$3,0)*IF(COUNTIF($C76:$W76,I76)=1,2,1)</f>
        <v>0</v>
      </c>
      <c r="AE76" s="11">
        <f>+IF(J76=$B76,Pesos!$L$3,0)*IF(COUNTIF($C76:$W76,J76)=1,2,1)</f>
        <v>0</v>
      </c>
      <c r="AF76" s="11">
        <f>+IF(K76=$B76,Pesos!$L$3,0)*IF(COUNTIF($C76:$W76,K76)=1,2,1)</f>
        <v>0</v>
      </c>
      <c r="AG76" s="11">
        <f>+IF(L76=$B76,Pesos!$L$3,0)*IF(COUNTIF($C76:$W76,L76)=1,2,1)</f>
        <v>0</v>
      </c>
      <c r="AH76" s="11">
        <f>+IF(M76=$B76,Pesos!$L$3,0)*IF(COUNTIF($C76:$W76,M76)=1,2,1)</f>
        <v>0</v>
      </c>
      <c r="AI76" s="11">
        <f>+IF(N76=$B76,Pesos!$L$3,0)*IF(COUNTIF($C76:$W76,N76)=1,2,1)</f>
        <v>0</v>
      </c>
      <c r="AJ76" s="11">
        <f>+IF(O76=$B76,Pesos!$L$3,0)*IF(COUNTIF($C76:$W76,O76)=1,2,1)</f>
        <v>0</v>
      </c>
      <c r="AK76" s="11">
        <f>+IF(P76=$B76,Pesos!$L$3,0)*IF(COUNTIF($C76:$W76,P76)=1,2,1)</f>
        <v>0</v>
      </c>
      <c r="AL76" s="11">
        <f>+IF(Q76=$B76,Pesos!$L$3,0)*IF(COUNTIF($C76:$W76,Q76)=1,2,1)</f>
        <v>0</v>
      </c>
      <c r="AM76" s="11">
        <f>+IF(R76=$B76,Pesos!$L$3,0)*IF(COUNTIF($C76:$W76,R76)=1,2,1)</f>
        <v>0</v>
      </c>
      <c r="AN76" s="11">
        <f>+IF(S76=$B76,Pesos!$L$3,0)*IF(COUNTIF($C76:$W76,S76)=1,2,1)</f>
        <v>0</v>
      </c>
      <c r="AO76" s="11">
        <f>+IF(T76=$B76,Pesos!$L$3,0)*IF(COUNTIF($C76:$W76,T76)=1,2,1)</f>
        <v>0</v>
      </c>
      <c r="AP76" s="11">
        <f>+IF(U76=$B76,Pesos!$L$3,0)*IF(COUNTIF($C76:$W76,U76)=1,2,1)</f>
        <v>0</v>
      </c>
      <c r="AQ76" s="11">
        <f>+IF(V76=$B76,Pesos!$L$3,0)*IF(COUNTIF($C76:$W76,V76)=1,2,1)</f>
        <v>1.7</v>
      </c>
      <c r="AR76" s="11">
        <f>+IF(W76=$B76,Pesos!$L$3,0)*IF(COUNTIF($C76:$W76,W76)=1,2,1)</f>
        <v>0</v>
      </c>
    </row>
    <row r="77" ht="12.75" customHeight="1">
      <c r="A77" s="1" t="str">
        <f>'1a FASE'!A76</f>
        <v>Machtday 4</v>
      </c>
      <c r="B77" s="8" t="str">
        <f>'1a FASE'!B78</f>
        <v>Atalanta</v>
      </c>
      <c r="C77" s="10" t="str">
        <f>'1a FASE'!C78</f>
        <v>Empate</v>
      </c>
      <c r="D77" s="10" t="str">
        <f>'1a FASE'!D78</f>
        <v>Atalanta</v>
      </c>
      <c r="E77" s="10" t="str">
        <f>'1a FASE'!E78</f>
        <v>Olympique de Marselha</v>
      </c>
      <c r="F77" s="10" t="str">
        <f>'1a FASE'!F78</f>
        <v>Olympique de Marselha</v>
      </c>
      <c r="G77" s="10" t="str">
        <f>'1a FASE'!G78</f>
        <v>Empate</v>
      </c>
      <c r="H77" s="10" t="str">
        <f>'1a FASE'!H78</f>
        <v>Olympique de Marselha</v>
      </c>
      <c r="I77" s="10" t="str">
        <f>'1a FASE'!I78</f>
        <v>Atalanta</v>
      </c>
      <c r="J77" s="10" t="str">
        <f>'1a FASE'!J78</f>
        <v>Atalanta</v>
      </c>
      <c r="K77" s="10" t="str">
        <f>'1a FASE'!K78</f>
        <v>Olympique de Marselha</v>
      </c>
      <c r="L77" s="10" t="str">
        <f>'1a FASE'!L78</f>
        <v>Atalanta</v>
      </c>
      <c r="M77" s="10" t="str">
        <f>'1a FASE'!M78</f>
        <v>Empate</v>
      </c>
      <c r="N77" s="10" t="str">
        <f>'1a FASE'!N78</f>
        <v>Empate</v>
      </c>
      <c r="O77" s="10" t="str">
        <f>'1a FASE'!O78</f>
        <v>Olympique de Marselha</v>
      </c>
      <c r="P77" s="10" t="str">
        <f>'1a FASE'!P78</f>
        <v>Olympique de Marselha</v>
      </c>
      <c r="Q77" s="10" t="str">
        <f>'1a FASE'!Q78</f>
        <v>Atalanta</v>
      </c>
      <c r="R77" s="10" t="str">
        <f>'1a FASE'!R78</f>
        <v>Empate</v>
      </c>
      <c r="S77" s="10" t="str">
        <f>'1a FASE'!S78</f>
        <v>Empate</v>
      </c>
      <c r="T77" s="10" t="str">
        <f>'1a FASE'!T78</f>
        <v>Olympique de Marselha</v>
      </c>
      <c r="U77" s="10" t="str">
        <f>'1a FASE'!U78</f>
        <v>Atalanta</v>
      </c>
      <c r="V77" s="10" t="str">
        <f>'1a FASE'!V78</f>
        <v>Atalanta</v>
      </c>
      <c r="W77" s="10" t="str">
        <f>'1a FASE'!W78</f>
        <v>Empate</v>
      </c>
      <c r="X77" s="10">
        <f>+IF(C77=$B77,Pesos!$L$3,0)*IF(COUNTIF($C77:$W77,C77)=1,2,1)</f>
        <v>0</v>
      </c>
      <c r="Y77" s="10">
        <f>+IF(D77=$B77,Pesos!$L$3,0)*IF(COUNTIF($C77:$W77,D77)=1,2,1)</f>
        <v>0.85</v>
      </c>
      <c r="Z77" s="10">
        <f>+IF(E77=$B77,Pesos!$L$3,0)*IF(COUNTIF($C77:$W77,E77)=1,2,1)</f>
        <v>0</v>
      </c>
      <c r="AA77" s="10">
        <f>+IF(F77=$B77,Pesos!$L$3,0)*IF(COUNTIF($C77:$W77,F77)=1,2,1)</f>
        <v>0</v>
      </c>
      <c r="AB77" s="10">
        <f>+IF(G77=$B77,Pesos!$L$3,0)*IF(COUNTIF($C77:$W77,G77)=1,2,1)</f>
        <v>0</v>
      </c>
      <c r="AC77" s="10">
        <f>+IF(H77=$B77,Pesos!$L$3,0)*IF(COUNTIF($C77:$W77,H77)=1,2,1)</f>
        <v>0</v>
      </c>
      <c r="AD77" s="10">
        <f>+IF(I77=$B77,Pesos!$L$3,0)*IF(COUNTIF($C77:$W77,I77)=1,2,1)</f>
        <v>0.85</v>
      </c>
      <c r="AE77" s="10">
        <f>+IF(J77=$B77,Pesos!$L$3,0)*IF(COUNTIF($C77:$W77,J77)=1,2,1)</f>
        <v>0.85</v>
      </c>
      <c r="AF77" s="10">
        <f>+IF(K77=$B77,Pesos!$L$3,0)*IF(COUNTIF($C77:$W77,K77)=1,2,1)</f>
        <v>0</v>
      </c>
      <c r="AG77" s="10">
        <f>+IF(L77=$B77,Pesos!$L$3,0)*IF(COUNTIF($C77:$W77,L77)=1,2,1)</f>
        <v>0.85</v>
      </c>
      <c r="AH77" s="10">
        <f>+IF(M77=$B77,Pesos!$L$3,0)*IF(COUNTIF($C77:$W77,M77)=1,2,1)</f>
        <v>0</v>
      </c>
      <c r="AI77" s="10">
        <f>+IF(N77=$B77,Pesos!$L$3,0)*IF(COUNTIF($C77:$W77,N77)=1,2,1)</f>
        <v>0</v>
      </c>
      <c r="AJ77" s="10">
        <f>+IF(O77=$B77,Pesos!$L$3,0)*IF(COUNTIF($C77:$W77,O77)=1,2,1)</f>
        <v>0</v>
      </c>
      <c r="AK77" s="10">
        <f>+IF(P77=$B77,Pesos!$L$3,0)*IF(COUNTIF($C77:$W77,P77)=1,2,1)</f>
        <v>0</v>
      </c>
      <c r="AL77" s="10">
        <f>+IF(Q77=$B77,Pesos!$L$3,0)*IF(COUNTIF($C77:$W77,Q77)=1,2,1)</f>
        <v>0.85</v>
      </c>
      <c r="AM77" s="10">
        <f>+IF(R77=$B77,Pesos!$L$3,0)*IF(COUNTIF($C77:$W77,R77)=1,2,1)</f>
        <v>0</v>
      </c>
      <c r="AN77" s="10">
        <f>+IF(S77=$B77,Pesos!$L$3,0)*IF(COUNTIF($C77:$W77,S77)=1,2,1)</f>
        <v>0</v>
      </c>
      <c r="AO77" s="10">
        <f>+IF(T77=$B77,Pesos!$L$3,0)*IF(COUNTIF($C77:$W77,T77)=1,2,1)</f>
        <v>0</v>
      </c>
      <c r="AP77" s="10">
        <f>+IF(U77=$B77,Pesos!$L$3,0)*IF(COUNTIF($C77:$W77,U77)=1,2,1)</f>
        <v>0.85</v>
      </c>
      <c r="AQ77" s="10">
        <f>+IF(V77=$B77,Pesos!$L$3,0)*IF(COUNTIF($C77:$W77,V77)=1,2,1)</f>
        <v>0.85</v>
      </c>
      <c r="AR77" s="10">
        <f>+IF(W77=$B77,Pesos!$L$3,0)*IF(COUNTIF($C77:$W77,W77)=1,2,1)</f>
        <v>0</v>
      </c>
    </row>
    <row r="78" ht="12.75" customHeight="1">
      <c r="A78" s="1" t="str">
        <f>'1a FASE'!A77</f>
        <v>Machtday 4</v>
      </c>
      <c r="B78" s="8" t="str">
        <f>'1a FASE'!B79</f>
        <v>Newcastle</v>
      </c>
      <c r="C78" s="11" t="str">
        <f>'1a FASE'!C79</f>
        <v>Newcastle</v>
      </c>
      <c r="D78" s="11" t="str">
        <f>'1a FASE'!D79</f>
        <v>Newcastle</v>
      </c>
      <c r="E78" s="11" t="str">
        <f>'1a FASE'!E79</f>
        <v>Newcastle</v>
      </c>
      <c r="F78" s="11" t="str">
        <f>'1a FASE'!F79</f>
        <v>Newcastle</v>
      </c>
      <c r="G78" s="11" t="str">
        <f>'1a FASE'!G79</f>
        <v>Newcastle</v>
      </c>
      <c r="H78" s="11" t="str">
        <f>'1a FASE'!H79</f>
        <v>Newcastle</v>
      </c>
      <c r="I78" s="11" t="str">
        <f>'1a FASE'!I79</f>
        <v>Newcastle</v>
      </c>
      <c r="J78" s="11" t="str">
        <f>'1a FASE'!J79</f>
        <v>Newcastle</v>
      </c>
      <c r="K78" s="11" t="str">
        <f>'1a FASE'!K79</f>
        <v>Newcastle</v>
      </c>
      <c r="L78" s="11" t="str">
        <f>'1a FASE'!L79</f>
        <v>Newcastle</v>
      </c>
      <c r="M78" s="11" t="str">
        <f>'1a FASE'!M79</f>
        <v>Newcastle</v>
      </c>
      <c r="N78" s="11" t="str">
        <f>'1a FASE'!N79</f>
        <v>Newcastle</v>
      </c>
      <c r="O78" s="11" t="str">
        <f>'1a FASE'!O79</f>
        <v>Newcastle</v>
      </c>
      <c r="P78" s="11" t="str">
        <f>'1a FASE'!P79</f>
        <v>Empate</v>
      </c>
      <c r="Q78" s="11" t="str">
        <f>'1a FASE'!Q79</f>
        <v>Newcastle</v>
      </c>
      <c r="R78" s="11" t="str">
        <f>'1a FASE'!R79</f>
        <v>Newcastle</v>
      </c>
      <c r="S78" s="11" t="str">
        <f>'1a FASE'!S79</f>
        <v>Athletic Bilbao</v>
      </c>
      <c r="T78" s="11" t="str">
        <f>'1a FASE'!T79</f>
        <v>Newcastle</v>
      </c>
      <c r="U78" s="11" t="str">
        <f>'1a FASE'!U79</f>
        <v>Newcastle</v>
      </c>
      <c r="V78" s="11" t="str">
        <f>'1a FASE'!V79</f>
        <v>Athletic Bilbao</v>
      </c>
      <c r="W78" s="11" t="str">
        <f>'1a FASE'!W79</f>
        <v>Newcastle</v>
      </c>
      <c r="X78" s="11">
        <f>+IF(C78=$B78,Pesos!$L$3,0)*IF(COUNTIF($C78:$W78,C78)=1,2,1)</f>
        <v>0.85</v>
      </c>
      <c r="Y78" s="11">
        <f>+IF(D78=$B78,Pesos!$L$3,0)*IF(COUNTIF($C78:$W78,D78)=1,2,1)</f>
        <v>0.85</v>
      </c>
      <c r="Z78" s="11">
        <f>+IF(E78=$B78,Pesos!$L$3,0)*IF(COUNTIF($C78:$W78,E78)=1,2,1)</f>
        <v>0.85</v>
      </c>
      <c r="AA78" s="11">
        <f>+IF(F78=$B78,Pesos!$L$3,0)*IF(COUNTIF($C78:$W78,F78)=1,2,1)</f>
        <v>0.85</v>
      </c>
      <c r="AB78" s="11">
        <f>+IF(G78=$B78,Pesos!$L$3,0)*IF(COUNTIF($C78:$W78,G78)=1,2,1)</f>
        <v>0.85</v>
      </c>
      <c r="AC78" s="11">
        <f>+IF(H78=$B78,Pesos!$L$3,0)*IF(COUNTIF($C78:$W78,H78)=1,2,1)</f>
        <v>0.85</v>
      </c>
      <c r="AD78" s="11">
        <f>+IF(I78=$B78,Pesos!$L$3,0)*IF(COUNTIF($C78:$W78,I78)=1,2,1)</f>
        <v>0.85</v>
      </c>
      <c r="AE78" s="11">
        <f>+IF(J78=$B78,Pesos!$L$3,0)*IF(COUNTIF($C78:$W78,J78)=1,2,1)</f>
        <v>0.85</v>
      </c>
      <c r="AF78" s="11">
        <f>+IF(K78=$B78,Pesos!$L$3,0)*IF(COUNTIF($C78:$W78,K78)=1,2,1)</f>
        <v>0.85</v>
      </c>
      <c r="AG78" s="11">
        <f>+IF(L78=$B78,Pesos!$L$3,0)*IF(COUNTIF($C78:$W78,L78)=1,2,1)</f>
        <v>0.85</v>
      </c>
      <c r="AH78" s="11">
        <f>+IF(M78=$B78,Pesos!$L$3,0)*IF(COUNTIF($C78:$W78,M78)=1,2,1)</f>
        <v>0.85</v>
      </c>
      <c r="AI78" s="11">
        <f>+IF(N78=$B78,Pesos!$L$3,0)*IF(COUNTIF($C78:$W78,N78)=1,2,1)</f>
        <v>0.85</v>
      </c>
      <c r="AJ78" s="11">
        <f>+IF(O78=$B78,Pesos!$L$3,0)*IF(COUNTIF($C78:$W78,O78)=1,2,1)</f>
        <v>0.85</v>
      </c>
      <c r="AK78" s="11">
        <f>+IF(P78=$B78,Pesos!$L$3,0)*IF(COUNTIF($C78:$W78,P78)=1,2,1)</f>
        <v>0</v>
      </c>
      <c r="AL78" s="11">
        <f>+IF(Q78=$B78,Pesos!$L$3,0)*IF(COUNTIF($C78:$W78,Q78)=1,2,1)</f>
        <v>0.85</v>
      </c>
      <c r="AM78" s="11">
        <f>+IF(R78=$B78,Pesos!$L$3,0)*IF(COUNTIF($C78:$W78,R78)=1,2,1)</f>
        <v>0.85</v>
      </c>
      <c r="AN78" s="11">
        <f>+IF(S78=$B78,Pesos!$L$3,0)*IF(COUNTIF($C78:$W78,S78)=1,2,1)</f>
        <v>0</v>
      </c>
      <c r="AO78" s="11">
        <f>+IF(T78=$B78,Pesos!$L$3,0)*IF(COUNTIF($C78:$W78,T78)=1,2,1)</f>
        <v>0.85</v>
      </c>
      <c r="AP78" s="11">
        <f>+IF(U78=$B78,Pesos!$L$3,0)*IF(COUNTIF($C78:$W78,U78)=1,2,1)</f>
        <v>0.85</v>
      </c>
      <c r="AQ78" s="11">
        <f>+IF(V78=$B78,Pesos!$L$3,0)*IF(COUNTIF($C78:$W78,V78)=1,2,1)</f>
        <v>0</v>
      </c>
      <c r="AR78" s="11">
        <f>+IF(W78=$B78,Pesos!$L$3,0)*IF(COUNTIF($C78:$W78,W78)=1,2,1)</f>
        <v>0.85</v>
      </c>
    </row>
    <row r="79" ht="12.75" customHeight="1">
      <c r="A79" s="1" t="str">
        <f>'1a FASE'!A80</f>
        <v>Machtday 5</v>
      </c>
      <c r="B79" s="8" t="str">
        <f>'1a FASE'!B80</f>
        <v>Benfica</v>
      </c>
      <c r="C79" s="10" t="str">
        <f>'1a FASE'!C80</f>
        <v>Benfica</v>
      </c>
      <c r="D79" s="10" t="str">
        <f>'1a FASE'!D80</f>
        <v>Ajax</v>
      </c>
      <c r="E79" s="10" t="str">
        <f>'1a FASE'!E80</f>
        <v>Benfica</v>
      </c>
      <c r="F79" s="10" t="str">
        <f>'1a FASE'!F80</f>
        <v>Benfica</v>
      </c>
      <c r="G79" s="10" t="str">
        <f>'1a FASE'!G80</f>
        <v>Ajax</v>
      </c>
      <c r="H79" s="10" t="str">
        <f>'1a FASE'!H80</f>
        <v>Ajax</v>
      </c>
      <c r="I79" s="10" t="str">
        <f>'1a FASE'!I80</f>
        <v>Benfica</v>
      </c>
      <c r="J79" s="10" t="str">
        <f>'1a FASE'!J80</f>
        <v>Ajax</v>
      </c>
      <c r="K79" s="10" t="str">
        <f>'1a FASE'!K80</f>
        <v>Ajax</v>
      </c>
      <c r="L79" s="10" t="str">
        <f>'1a FASE'!L80</f>
        <v>Ajax</v>
      </c>
      <c r="M79" s="10" t="str">
        <f>'1a FASE'!M80</f>
        <v>Empate</v>
      </c>
      <c r="N79" s="10" t="str">
        <f>'1a FASE'!N80</f>
        <v>Ajax</v>
      </c>
      <c r="O79" s="10" t="str">
        <f>'1a FASE'!O80</f>
        <v>Empate</v>
      </c>
      <c r="P79" s="10" t="str">
        <f>'1a FASE'!P80</f>
        <v>Ajax</v>
      </c>
      <c r="Q79" s="10" t="str">
        <f>'1a FASE'!Q80</f>
        <v>Benfica</v>
      </c>
      <c r="R79" s="10" t="str">
        <f>'1a FASE'!R80</f>
        <v>Ajax</v>
      </c>
      <c r="S79" s="10" t="str">
        <f>'1a FASE'!S80</f>
        <v>Ajax</v>
      </c>
      <c r="T79" s="10" t="str">
        <f>'1a FASE'!T80</f>
        <v>Ajax</v>
      </c>
      <c r="U79" s="10" t="str">
        <f>'1a FASE'!U80</f>
        <v>Ajax</v>
      </c>
      <c r="V79" s="10" t="str">
        <f>'1a FASE'!V80</f>
        <v>Benfica</v>
      </c>
      <c r="W79" s="10" t="str">
        <f>'1a FASE'!W80</f>
        <v>Empate</v>
      </c>
      <c r="X79" s="10">
        <f>+IF(C79=$B79,Pesos!$L$3,0)*IF(COUNTIF($C79:$W79,C79)=1,2,1)</f>
        <v>0.85</v>
      </c>
      <c r="Y79" s="10">
        <f>+IF(D79=$B79,Pesos!$L$3,0)*IF(COUNTIF($C79:$W79,D79)=1,2,1)</f>
        <v>0</v>
      </c>
      <c r="Z79" s="10">
        <f>+IF(E79=$B79,Pesos!$L$3,0)*IF(COUNTIF($C79:$W79,E79)=1,2,1)</f>
        <v>0.85</v>
      </c>
      <c r="AA79" s="10">
        <f>+IF(F79=$B79,Pesos!$L$3,0)*IF(COUNTIF($C79:$W79,F79)=1,2,1)</f>
        <v>0.85</v>
      </c>
      <c r="AB79" s="10">
        <f>+IF(G79=$B79,Pesos!$L$3,0)*IF(COUNTIF($C79:$W79,G79)=1,2,1)</f>
        <v>0</v>
      </c>
      <c r="AC79" s="10">
        <f>+IF(H79=$B79,Pesos!$L$3,0)*IF(COUNTIF($C79:$W79,H79)=1,2,1)</f>
        <v>0</v>
      </c>
      <c r="AD79" s="10">
        <f>+IF(I79=$B79,Pesos!$L$3,0)*IF(COUNTIF($C79:$W79,I79)=1,2,1)</f>
        <v>0.85</v>
      </c>
      <c r="AE79" s="10">
        <f>+IF(J79=$B79,Pesos!$L$3,0)*IF(COUNTIF($C79:$W79,J79)=1,2,1)</f>
        <v>0</v>
      </c>
      <c r="AF79" s="10">
        <f>+IF(K79=$B79,Pesos!$L$3,0)*IF(COUNTIF($C79:$W79,K79)=1,2,1)</f>
        <v>0</v>
      </c>
      <c r="AG79" s="10">
        <f>+IF(L79=$B79,Pesos!$L$3,0)*IF(COUNTIF($C79:$W79,L79)=1,2,1)</f>
        <v>0</v>
      </c>
      <c r="AH79" s="10">
        <f>+IF(M79=$B79,Pesos!$L$3,0)*IF(COUNTIF($C79:$W79,M79)=1,2,1)</f>
        <v>0</v>
      </c>
      <c r="AI79" s="10">
        <f>+IF(N79=$B79,Pesos!$L$3,0)*IF(COUNTIF($C79:$W79,N79)=1,2,1)</f>
        <v>0</v>
      </c>
      <c r="AJ79" s="10">
        <f>+IF(O79=$B79,Pesos!$L$3,0)*IF(COUNTIF($C79:$W79,O79)=1,2,1)</f>
        <v>0</v>
      </c>
      <c r="AK79" s="10">
        <f>+IF(P79=$B79,Pesos!$L$3,0)*IF(COUNTIF($C79:$W79,P79)=1,2,1)</f>
        <v>0</v>
      </c>
      <c r="AL79" s="10">
        <f>+IF(Q79=$B79,Pesos!$L$3,0)*IF(COUNTIF($C79:$W79,Q79)=1,2,1)</f>
        <v>0.85</v>
      </c>
      <c r="AM79" s="10">
        <f>+IF(R79=$B79,Pesos!$L$3,0)*IF(COUNTIF($C79:$W79,R79)=1,2,1)</f>
        <v>0</v>
      </c>
      <c r="AN79" s="10">
        <f>+IF(S79=$B79,Pesos!$L$3,0)*IF(COUNTIF($C79:$W79,S79)=1,2,1)</f>
        <v>0</v>
      </c>
      <c r="AO79" s="10">
        <f>+IF(T79=$B79,Pesos!$L$3,0)*IF(COUNTIF($C79:$W79,T79)=1,2,1)</f>
        <v>0</v>
      </c>
      <c r="AP79" s="10">
        <f>+IF(U79=$B79,Pesos!$L$3,0)*IF(COUNTIF($C79:$W79,U79)=1,2,1)</f>
        <v>0</v>
      </c>
      <c r="AQ79" s="10">
        <f>+IF(V79=$B79,Pesos!$L$3,0)*IF(COUNTIF($C79:$W79,V79)=1,2,1)</f>
        <v>0.85</v>
      </c>
      <c r="AR79" s="10">
        <f>+IF(W79=$B79,Pesos!$L$3,0)*IF(COUNTIF($C79:$W79,W79)=1,2,1)</f>
        <v>0</v>
      </c>
    </row>
    <row r="80" ht="12.75" customHeight="1">
      <c r="A80" s="1" t="str">
        <f>'1a FASE'!A81</f>
        <v>Machtday 5</v>
      </c>
      <c r="B80" s="8" t="str">
        <f>'1a FASE'!B81</f>
        <v>Union Saint-Gilloise</v>
      </c>
      <c r="C80" s="11" t="str">
        <f>'1a FASE'!C81</f>
        <v>Galatasaray</v>
      </c>
      <c r="D80" s="11" t="str">
        <f>'1a FASE'!D81</f>
        <v>Galatasaray</v>
      </c>
      <c r="E80" s="11" t="str">
        <f>'1a FASE'!E81</f>
        <v>Galatasaray</v>
      </c>
      <c r="F80" s="11" t="str">
        <f>'1a FASE'!F81</f>
        <v>Galatasaray</v>
      </c>
      <c r="G80" s="11" t="str">
        <f>'1a FASE'!G81</f>
        <v>Galatasaray</v>
      </c>
      <c r="H80" s="11" t="str">
        <f>'1a FASE'!H81</f>
        <v>Galatasaray</v>
      </c>
      <c r="I80" s="11" t="str">
        <f>'1a FASE'!I81</f>
        <v>Galatasaray</v>
      </c>
      <c r="J80" s="11" t="str">
        <f>'1a FASE'!J81</f>
        <v>Galatasaray</v>
      </c>
      <c r="K80" s="11" t="str">
        <f>'1a FASE'!K81</f>
        <v>Galatasaray</v>
      </c>
      <c r="L80" s="11" t="str">
        <f>'1a FASE'!L81</f>
        <v>Galatasaray</v>
      </c>
      <c r="M80" s="11" t="str">
        <f>'1a FASE'!M81</f>
        <v>Galatasaray</v>
      </c>
      <c r="N80" s="11" t="str">
        <f>'1a FASE'!N81</f>
        <v>Galatasaray</v>
      </c>
      <c r="O80" s="11" t="str">
        <f>'1a FASE'!O81</f>
        <v>Galatasaray</v>
      </c>
      <c r="P80" s="11" t="str">
        <f>'1a FASE'!P81</f>
        <v>Galatasaray</v>
      </c>
      <c r="Q80" s="11" t="str">
        <f>'1a FASE'!Q81</f>
        <v>Galatasaray</v>
      </c>
      <c r="R80" s="11" t="str">
        <f>'1a FASE'!R81</f>
        <v>Galatasaray</v>
      </c>
      <c r="S80" s="11" t="str">
        <f>'1a FASE'!S81</f>
        <v>Galatasaray</v>
      </c>
      <c r="T80" s="11" t="str">
        <f>'1a FASE'!T81</f>
        <v>Galatasaray</v>
      </c>
      <c r="U80" s="11" t="str">
        <f>'1a FASE'!U81</f>
        <v>Empate</v>
      </c>
      <c r="V80" s="11" t="str">
        <f>'1a FASE'!V81</f>
        <v>Galatasaray</v>
      </c>
      <c r="W80" s="11" t="str">
        <f>'1a FASE'!W81</f>
        <v>Galatasaray</v>
      </c>
      <c r="X80" s="11">
        <f>+IF(C80=$B80,Pesos!$L$3,0)*IF(COUNTIF($C80:$W80,C80)=1,2,1)</f>
        <v>0</v>
      </c>
      <c r="Y80" s="11">
        <f>+IF(D80=$B80,Pesos!$L$3,0)*IF(COUNTIF($C80:$W80,D80)=1,2,1)</f>
        <v>0</v>
      </c>
      <c r="Z80" s="11">
        <f>+IF(E80=$B80,Pesos!$L$3,0)*IF(COUNTIF($C80:$W80,E80)=1,2,1)</f>
        <v>0</v>
      </c>
      <c r="AA80" s="11">
        <f>+IF(F80=$B80,Pesos!$L$3,0)*IF(COUNTIF($C80:$W80,F80)=1,2,1)</f>
        <v>0</v>
      </c>
      <c r="AB80" s="11">
        <f>+IF(G80=$B80,Pesos!$L$3,0)*IF(COUNTIF($C80:$W80,G80)=1,2,1)</f>
        <v>0</v>
      </c>
      <c r="AC80" s="11">
        <f>+IF(H80=$B80,Pesos!$L$3,0)*IF(COUNTIF($C80:$W80,H80)=1,2,1)</f>
        <v>0</v>
      </c>
      <c r="AD80" s="11">
        <f>+IF(I80=$B80,Pesos!$L$3,0)*IF(COUNTIF($C80:$W80,I80)=1,2,1)</f>
        <v>0</v>
      </c>
      <c r="AE80" s="11">
        <f>+IF(J80=$B80,Pesos!$L$3,0)*IF(COUNTIF($C80:$W80,J80)=1,2,1)</f>
        <v>0</v>
      </c>
      <c r="AF80" s="11">
        <f>+IF(K80=$B80,Pesos!$L$3,0)*IF(COUNTIF($C80:$W80,K80)=1,2,1)</f>
        <v>0</v>
      </c>
      <c r="AG80" s="11">
        <f>+IF(L80=$B80,Pesos!$L$3,0)*IF(COUNTIF($C80:$W80,L80)=1,2,1)</f>
        <v>0</v>
      </c>
      <c r="AH80" s="11">
        <f>+IF(M80=$B80,Pesos!$L$3,0)*IF(COUNTIF($C80:$W80,M80)=1,2,1)</f>
        <v>0</v>
      </c>
      <c r="AI80" s="11">
        <f>+IF(N80=$B80,Pesos!$L$3,0)*IF(COUNTIF($C80:$W80,N80)=1,2,1)</f>
        <v>0</v>
      </c>
      <c r="AJ80" s="11">
        <f>+IF(O80=$B80,Pesos!$L$3,0)*IF(COUNTIF($C80:$W80,O80)=1,2,1)</f>
        <v>0</v>
      </c>
      <c r="AK80" s="11">
        <f>+IF(P80=$B80,Pesos!$L$3,0)*IF(COUNTIF($C80:$W80,P80)=1,2,1)</f>
        <v>0</v>
      </c>
      <c r="AL80" s="11">
        <f>+IF(Q80=$B80,Pesos!$L$3,0)*IF(COUNTIF($C80:$W80,Q80)=1,2,1)</f>
        <v>0</v>
      </c>
      <c r="AM80" s="11">
        <f>+IF(R80=$B80,Pesos!$L$3,0)*IF(COUNTIF($C80:$W80,R80)=1,2,1)</f>
        <v>0</v>
      </c>
      <c r="AN80" s="11">
        <f>+IF(S80=$B80,Pesos!$L$3,0)*IF(COUNTIF($C80:$W80,S80)=1,2,1)</f>
        <v>0</v>
      </c>
      <c r="AO80" s="11">
        <f>+IF(T80=$B80,Pesos!$L$3,0)*IF(COUNTIF($C80:$W80,T80)=1,2,1)</f>
        <v>0</v>
      </c>
      <c r="AP80" s="11">
        <f>+IF(U80=$B80,Pesos!$L$3,0)*IF(COUNTIF($C80:$W80,U80)=1,2,1)</f>
        <v>0</v>
      </c>
      <c r="AQ80" s="11">
        <f>+IF(V80=$B80,Pesos!$L$3,0)*IF(COUNTIF($C80:$W80,V80)=1,2,1)</f>
        <v>0</v>
      </c>
      <c r="AR80" s="11">
        <f>+IF(W80=$B80,Pesos!$L$3,0)*IF(COUNTIF($C80:$W80,W80)=1,2,1)</f>
        <v>0</v>
      </c>
    </row>
    <row r="81" ht="12.75" customHeight="1">
      <c r="A81" s="1" t="str">
        <f>'1a FASE'!A82</f>
        <v>Machtday 5</v>
      </c>
      <c r="B81" s="8" t="str">
        <f>'1a FASE'!B82</f>
        <v>Bayer Leverkusen</v>
      </c>
      <c r="C81" s="10" t="str">
        <f>'1a FASE'!C82</f>
        <v>Manchester City</v>
      </c>
      <c r="D81" s="10" t="str">
        <f>'1a FASE'!D82</f>
        <v>Manchester City</v>
      </c>
      <c r="E81" s="10" t="str">
        <f>'1a FASE'!E82</f>
        <v>Manchester City</v>
      </c>
      <c r="F81" s="10" t="str">
        <f>'1a FASE'!F82</f>
        <v>Manchester City</v>
      </c>
      <c r="G81" s="10" t="str">
        <f>'1a FASE'!G82</f>
        <v>Manchester City</v>
      </c>
      <c r="H81" s="10" t="str">
        <f>'1a FASE'!H82</f>
        <v>Manchester City</v>
      </c>
      <c r="I81" s="10" t="str">
        <f>'1a FASE'!I82</f>
        <v>Manchester City</v>
      </c>
      <c r="J81" s="10" t="str">
        <f>'1a FASE'!J82</f>
        <v>Manchester City</v>
      </c>
      <c r="K81" s="10" t="str">
        <f>'1a FASE'!K82</f>
        <v>Manchester City</v>
      </c>
      <c r="L81" s="10" t="str">
        <f>'1a FASE'!L82</f>
        <v>Manchester City</v>
      </c>
      <c r="M81" s="10" t="str">
        <f>'1a FASE'!M82</f>
        <v>Manchester City</v>
      </c>
      <c r="N81" s="10" t="str">
        <f>'1a FASE'!N82</f>
        <v>Manchester City</v>
      </c>
      <c r="O81" s="10" t="str">
        <f>'1a FASE'!O82</f>
        <v>Manchester City</v>
      </c>
      <c r="P81" s="10" t="str">
        <f>'1a FASE'!P82</f>
        <v>Manchester City</v>
      </c>
      <c r="Q81" s="10" t="str">
        <f>'1a FASE'!Q82</f>
        <v>Manchester City</v>
      </c>
      <c r="R81" s="10" t="str">
        <f>'1a FASE'!R82</f>
        <v>Manchester City</v>
      </c>
      <c r="S81" s="10" t="str">
        <f>'1a FASE'!S82</f>
        <v>Manchester City</v>
      </c>
      <c r="T81" s="10" t="str">
        <f>'1a FASE'!T82</f>
        <v>Manchester City</v>
      </c>
      <c r="U81" s="10" t="str">
        <f>'1a FASE'!U82</f>
        <v>Manchester City</v>
      </c>
      <c r="V81" s="10" t="str">
        <f>'1a FASE'!V82</f>
        <v>Manchester City</v>
      </c>
      <c r="W81" s="10" t="str">
        <f>'1a FASE'!W82</f>
        <v>Manchester City</v>
      </c>
      <c r="X81" s="10">
        <f>+IF(C81=$B81,Pesos!$L$3,0)*IF(COUNTIF($C81:$W81,C81)=1,2,1)</f>
        <v>0</v>
      </c>
      <c r="Y81" s="10">
        <f>+IF(D81=$B81,Pesos!$L$3,0)*IF(COUNTIF($C81:$W81,D81)=1,2,1)</f>
        <v>0</v>
      </c>
      <c r="Z81" s="10">
        <f>+IF(E81=$B81,Pesos!$L$3,0)*IF(COUNTIF($C81:$W81,E81)=1,2,1)</f>
        <v>0</v>
      </c>
      <c r="AA81" s="10">
        <f>+IF(F81=$B81,Pesos!$L$3,0)*IF(COUNTIF($C81:$W81,F81)=1,2,1)</f>
        <v>0</v>
      </c>
      <c r="AB81" s="10">
        <f>+IF(G81=$B81,Pesos!$L$3,0)*IF(COUNTIF($C81:$W81,G81)=1,2,1)</f>
        <v>0</v>
      </c>
      <c r="AC81" s="10">
        <f>+IF(H81=$B81,Pesos!$L$3,0)*IF(COUNTIF($C81:$W81,H81)=1,2,1)</f>
        <v>0</v>
      </c>
      <c r="AD81" s="10">
        <f>+IF(I81=$B81,Pesos!$L$3,0)*IF(COUNTIF($C81:$W81,I81)=1,2,1)</f>
        <v>0</v>
      </c>
      <c r="AE81" s="10">
        <f>+IF(J81=$B81,Pesos!$L$3,0)*IF(COUNTIF($C81:$W81,J81)=1,2,1)</f>
        <v>0</v>
      </c>
      <c r="AF81" s="10">
        <f>+IF(K81=$B81,Pesos!$L$3,0)*IF(COUNTIF($C81:$W81,K81)=1,2,1)</f>
        <v>0</v>
      </c>
      <c r="AG81" s="10">
        <f>+IF(L81=$B81,Pesos!$L$3,0)*IF(COUNTIF($C81:$W81,L81)=1,2,1)</f>
        <v>0</v>
      </c>
      <c r="AH81" s="10">
        <f>+IF(M81=$B81,Pesos!$L$3,0)*IF(COUNTIF($C81:$W81,M81)=1,2,1)</f>
        <v>0</v>
      </c>
      <c r="AI81" s="10">
        <f>+IF(N81=$B81,Pesos!$L$3,0)*IF(COUNTIF($C81:$W81,N81)=1,2,1)</f>
        <v>0</v>
      </c>
      <c r="AJ81" s="10">
        <f>+IF(O81=$B81,Pesos!$L$3,0)*IF(COUNTIF($C81:$W81,O81)=1,2,1)</f>
        <v>0</v>
      </c>
      <c r="AK81" s="10">
        <f>+IF(P81=$B81,Pesos!$L$3,0)*IF(COUNTIF($C81:$W81,P81)=1,2,1)</f>
        <v>0</v>
      </c>
      <c r="AL81" s="10">
        <f>+IF(Q81=$B81,Pesos!$L$3,0)*IF(COUNTIF($C81:$W81,Q81)=1,2,1)</f>
        <v>0</v>
      </c>
      <c r="AM81" s="10">
        <f>+IF(R81=$B81,Pesos!$L$3,0)*IF(COUNTIF($C81:$W81,R81)=1,2,1)</f>
        <v>0</v>
      </c>
      <c r="AN81" s="10">
        <f>+IF(S81=$B81,Pesos!$L$3,0)*IF(COUNTIF($C81:$W81,S81)=1,2,1)</f>
        <v>0</v>
      </c>
      <c r="AO81" s="10">
        <f>+IF(T81=$B81,Pesos!$L$3,0)*IF(COUNTIF($C81:$W81,T81)=1,2,1)</f>
        <v>0</v>
      </c>
      <c r="AP81" s="10">
        <f>+IF(U81=$B81,Pesos!$L$3,0)*IF(COUNTIF($C81:$W81,U81)=1,2,1)</f>
        <v>0</v>
      </c>
      <c r="AQ81" s="10">
        <f>+IF(V81=$B81,Pesos!$L$3,0)*IF(COUNTIF($C81:$W81,V81)=1,2,1)</f>
        <v>0</v>
      </c>
      <c r="AR81" s="10">
        <f>+IF(W81=$B81,Pesos!$L$3,0)*IF(COUNTIF($C81:$W81,W81)=1,2,1)</f>
        <v>0</v>
      </c>
    </row>
    <row r="82" ht="12.75" customHeight="1">
      <c r="A82" s="1" t="str">
        <f>'1a FASE'!A83</f>
        <v>Machtday 5</v>
      </c>
      <c r="B82" s="8" t="str">
        <f>'1a FASE'!B83</f>
        <v>Chelsea</v>
      </c>
      <c r="C82" s="11" t="str">
        <f>'1a FASE'!C83</f>
        <v>Empate</v>
      </c>
      <c r="D82" s="11" t="str">
        <f>'1a FASE'!D83</f>
        <v>Chelsea</v>
      </c>
      <c r="E82" s="11" t="str">
        <f>'1a FASE'!E83</f>
        <v>Empate</v>
      </c>
      <c r="F82" s="11" t="str">
        <f>'1a FASE'!F83</f>
        <v>Barcelona</v>
      </c>
      <c r="G82" s="11" t="str">
        <f>'1a FASE'!G83</f>
        <v>Chelsea</v>
      </c>
      <c r="H82" s="11" t="str">
        <f>'1a FASE'!H83</f>
        <v>Chelsea</v>
      </c>
      <c r="I82" s="11" t="str">
        <f>'1a FASE'!I83</f>
        <v>Chelsea</v>
      </c>
      <c r="J82" s="11" t="str">
        <f>'1a FASE'!J83</f>
        <v>Chelsea</v>
      </c>
      <c r="K82" s="11" t="str">
        <f>'1a FASE'!K83</f>
        <v>Barcelona</v>
      </c>
      <c r="L82" s="11" t="str">
        <f>'1a FASE'!L83</f>
        <v>Chelsea</v>
      </c>
      <c r="M82" s="11" t="str">
        <f>'1a FASE'!M83</f>
        <v>Chelsea</v>
      </c>
      <c r="N82" s="11" t="str">
        <f>'1a FASE'!N83</f>
        <v>Empate</v>
      </c>
      <c r="O82" s="11" t="str">
        <f>'1a FASE'!O83</f>
        <v>Barcelona</v>
      </c>
      <c r="P82" s="11" t="str">
        <f>'1a FASE'!P83</f>
        <v>Chelsea</v>
      </c>
      <c r="Q82" s="11" t="str">
        <f>'1a FASE'!Q83</f>
        <v>Chelsea</v>
      </c>
      <c r="R82" s="11" t="str">
        <f>'1a FASE'!R83</f>
        <v>Barcelona</v>
      </c>
      <c r="S82" s="11" t="str">
        <f>'1a FASE'!S83</f>
        <v>Empate</v>
      </c>
      <c r="T82" s="11" t="str">
        <f>'1a FASE'!T83</f>
        <v>Chelsea</v>
      </c>
      <c r="U82" s="11" t="str">
        <f>'1a FASE'!U83</f>
        <v>Chelsea</v>
      </c>
      <c r="V82" s="11" t="str">
        <f>'1a FASE'!V83</f>
        <v>Chelsea</v>
      </c>
      <c r="W82" s="11" t="str">
        <f>'1a FASE'!W83</f>
        <v>Empate</v>
      </c>
      <c r="X82" s="11">
        <f>+IF(C82=$B82,Pesos!$L$3,0)*IF(COUNTIF($C82:$W82,C82)=1,2,1)</f>
        <v>0</v>
      </c>
      <c r="Y82" s="11">
        <f>+IF(D82=$B82,Pesos!$L$3,0)*IF(COUNTIF($C82:$W82,D82)=1,2,1)</f>
        <v>0.85</v>
      </c>
      <c r="Z82" s="11">
        <f>+IF(E82=$B82,Pesos!$L$3,0)*IF(COUNTIF($C82:$W82,E82)=1,2,1)</f>
        <v>0</v>
      </c>
      <c r="AA82" s="11">
        <f>+IF(F82=$B82,Pesos!$L$3,0)*IF(COUNTIF($C82:$W82,F82)=1,2,1)</f>
        <v>0</v>
      </c>
      <c r="AB82" s="11">
        <f>+IF(G82=$B82,Pesos!$L$3,0)*IF(COUNTIF($C82:$W82,G82)=1,2,1)</f>
        <v>0.85</v>
      </c>
      <c r="AC82" s="11">
        <f>+IF(H82=$B82,Pesos!$L$3,0)*IF(COUNTIF($C82:$W82,H82)=1,2,1)</f>
        <v>0.85</v>
      </c>
      <c r="AD82" s="11">
        <f>+IF(I82=$B82,Pesos!$L$3,0)*IF(COUNTIF($C82:$W82,I82)=1,2,1)</f>
        <v>0.85</v>
      </c>
      <c r="AE82" s="11">
        <f>+IF(J82=$B82,Pesos!$L$3,0)*IF(COUNTIF($C82:$W82,J82)=1,2,1)</f>
        <v>0.85</v>
      </c>
      <c r="AF82" s="11">
        <f>+IF(K82=$B82,Pesos!$L$3,0)*IF(COUNTIF($C82:$W82,K82)=1,2,1)</f>
        <v>0</v>
      </c>
      <c r="AG82" s="11">
        <f>+IF(L82=$B82,Pesos!$L$3,0)*IF(COUNTIF($C82:$W82,L82)=1,2,1)</f>
        <v>0.85</v>
      </c>
      <c r="AH82" s="11">
        <f>+IF(M82=$B82,Pesos!$L$3,0)*IF(COUNTIF($C82:$W82,M82)=1,2,1)</f>
        <v>0.85</v>
      </c>
      <c r="AI82" s="11">
        <f>+IF(N82=$B82,Pesos!$L$3,0)*IF(COUNTIF($C82:$W82,N82)=1,2,1)</f>
        <v>0</v>
      </c>
      <c r="AJ82" s="11">
        <f>+IF(O82=$B82,Pesos!$L$3,0)*IF(COUNTIF($C82:$W82,O82)=1,2,1)</f>
        <v>0</v>
      </c>
      <c r="AK82" s="11">
        <f>+IF(P82=$B82,Pesos!$L$3,0)*IF(COUNTIF($C82:$W82,P82)=1,2,1)</f>
        <v>0.85</v>
      </c>
      <c r="AL82" s="11">
        <f>+IF(Q82=$B82,Pesos!$L$3,0)*IF(COUNTIF($C82:$W82,Q82)=1,2,1)</f>
        <v>0.85</v>
      </c>
      <c r="AM82" s="11">
        <f>+IF(R82=$B82,Pesos!$L$3,0)*IF(COUNTIF($C82:$W82,R82)=1,2,1)</f>
        <v>0</v>
      </c>
      <c r="AN82" s="11">
        <f>+IF(S82=$B82,Pesos!$L$3,0)*IF(COUNTIF($C82:$W82,S82)=1,2,1)</f>
        <v>0</v>
      </c>
      <c r="AO82" s="11">
        <f>+IF(T82=$B82,Pesos!$L$3,0)*IF(COUNTIF($C82:$W82,T82)=1,2,1)</f>
        <v>0.85</v>
      </c>
      <c r="AP82" s="11">
        <f>+IF(U82=$B82,Pesos!$L$3,0)*IF(COUNTIF($C82:$W82,U82)=1,2,1)</f>
        <v>0.85</v>
      </c>
      <c r="AQ82" s="11">
        <f>+IF(V82=$B82,Pesos!$L$3,0)*IF(COUNTIF($C82:$W82,V82)=1,2,1)</f>
        <v>0.85</v>
      </c>
      <c r="AR82" s="11">
        <f>+IF(W82=$B82,Pesos!$L$3,0)*IF(COUNTIF($C82:$W82,W82)=1,2,1)</f>
        <v>0</v>
      </c>
    </row>
    <row r="83" ht="12.75" customHeight="1">
      <c r="A83" s="1" t="str">
        <f>'1a FASE'!A84</f>
        <v>Machtday 5</v>
      </c>
      <c r="B83" s="8" t="str">
        <f>'1a FASE'!B84</f>
        <v>Borussia Dortmund</v>
      </c>
      <c r="C83" s="10" t="str">
        <f>'1a FASE'!C84</f>
        <v>Borussia Dortmund</v>
      </c>
      <c r="D83" s="10" t="str">
        <f>'1a FASE'!D84</f>
        <v>Borussia Dortmund</v>
      </c>
      <c r="E83" s="10" t="str">
        <f>'1a FASE'!E84</f>
        <v>Borussia Dortmund</v>
      </c>
      <c r="F83" s="10" t="str">
        <f>'1a FASE'!F84</f>
        <v>Borussia Dortmund</v>
      </c>
      <c r="G83" s="10" t="str">
        <f>'1a FASE'!G84</f>
        <v>Borussia Dortmund</v>
      </c>
      <c r="H83" s="10" t="str">
        <f>'1a FASE'!H84</f>
        <v>Borussia Dortmund</v>
      </c>
      <c r="I83" s="10" t="str">
        <f>'1a FASE'!I84</f>
        <v>Borussia Dortmund</v>
      </c>
      <c r="J83" s="10" t="str">
        <f>'1a FASE'!J84</f>
        <v>Borussia Dortmund</v>
      </c>
      <c r="K83" s="10" t="str">
        <f>'1a FASE'!K84</f>
        <v>Borussia Dortmund</v>
      </c>
      <c r="L83" s="10" t="str">
        <f>'1a FASE'!L84</f>
        <v>Borussia Dortmund</v>
      </c>
      <c r="M83" s="10" t="str">
        <f>'1a FASE'!M84</f>
        <v>Borussia Dortmund</v>
      </c>
      <c r="N83" s="10" t="str">
        <f>'1a FASE'!N84</f>
        <v>Borussia Dortmund</v>
      </c>
      <c r="O83" s="10" t="str">
        <f>'1a FASE'!O84</f>
        <v>Borussia Dortmund</v>
      </c>
      <c r="P83" s="10" t="str">
        <f>'1a FASE'!P84</f>
        <v>Borussia Dortmund</v>
      </c>
      <c r="Q83" s="10" t="str">
        <f>'1a FASE'!Q84</f>
        <v>Villarreal</v>
      </c>
      <c r="R83" s="10" t="str">
        <f>'1a FASE'!R84</f>
        <v>Borussia Dortmund</v>
      </c>
      <c r="S83" s="10" t="str">
        <f>'1a FASE'!S84</f>
        <v>Borussia Dortmund</v>
      </c>
      <c r="T83" s="10" t="str">
        <f>'1a FASE'!T84</f>
        <v>Borussia Dortmund</v>
      </c>
      <c r="U83" s="10" t="str">
        <f>'1a FASE'!U84</f>
        <v>Borussia Dortmund</v>
      </c>
      <c r="V83" s="10" t="str">
        <f>'1a FASE'!V84</f>
        <v>Borussia Dortmund</v>
      </c>
      <c r="W83" s="10" t="str">
        <f>'1a FASE'!W84</f>
        <v>Borussia Dortmund</v>
      </c>
      <c r="X83" s="10">
        <f>+IF(C83=$B83,Pesos!$L$3,0)*IF(COUNTIF($C83:$W83,C83)=1,2,1)</f>
        <v>0.85</v>
      </c>
      <c r="Y83" s="10">
        <f>+IF(D83=$B83,Pesos!$L$3,0)*IF(COUNTIF($C83:$W83,D83)=1,2,1)</f>
        <v>0.85</v>
      </c>
      <c r="Z83" s="10">
        <f>+IF(E83=$B83,Pesos!$L$3,0)*IF(COUNTIF($C83:$W83,E83)=1,2,1)</f>
        <v>0.85</v>
      </c>
      <c r="AA83" s="10">
        <f>+IF(F83=$B83,Pesos!$L$3,0)*IF(COUNTIF($C83:$W83,F83)=1,2,1)</f>
        <v>0.85</v>
      </c>
      <c r="AB83" s="10">
        <f>+IF(G83=$B83,Pesos!$L$3,0)*IF(COUNTIF($C83:$W83,G83)=1,2,1)</f>
        <v>0.85</v>
      </c>
      <c r="AC83" s="10">
        <f>+IF(H83=$B83,Pesos!$L$3,0)*IF(COUNTIF($C83:$W83,H83)=1,2,1)</f>
        <v>0.85</v>
      </c>
      <c r="AD83" s="10">
        <f>+IF(I83=$B83,Pesos!$L$3,0)*IF(COUNTIF($C83:$W83,I83)=1,2,1)</f>
        <v>0.85</v>
      </c>
      <c r="AE83" s="10">
        <f>+IF(J83=$B83,Pesos!$L$3,0)*IF(COUNTIF($C83:$W83,J83)=1,2,1)</f>
        <v>0.85</v>
      </c>
      <c r="AF83" s="10">
        <f>+IF(K83=$B83,Pesos!$L$3,0)*IF(COUNTIF($C83:$W83,K83)=1,2,1)</f>
        <v>0.85</v>
      </c>
      <c r="AG83" s="10">
        <f>+IF(L83=$B83,Pesos!$L$3,0)*IF(COUNTIF($C83:$W83,L83)=1,2,1)</f>
        <v>0.85</v>
      </c>
      <c r="AH83" s="10">
        <f>+IF(M83=$B83,Pesos!$L$3,0)*IF(COUNTIF($C83:$W83,M83)=1,2,1)</f>
        <v>0.85</v>
      </c>
      <c r="AI83" s="10">
        <f>+IF(N83=$B83,Pesos!$L$3,0)*IF(COUNTIF($C83:$W83,N83)=1,2,1)</f>
        <v>0.85</v>
      </c>
      <c r="AJ83" s="10">
        <f>+IF(O83=$B83,Pesos!$L$3,0)*IF(COUNTIF($C83:$W83,O83)=1,2,1)</f>
        <v>0.85</v>
      </c>
      <c r="AK83" s="10">
        <f>+IF(P83=$B83,Pesos!$L$3,0)*IF(COUNTIF($C83:$W83,P83)=1,2,1)</f>
        <v>0.85</v>
      </c>
      <c r="AL83" s="10">
        <f>+IF(Q83=$B83,Pesos!$L$3,0)*IF(COUNTIF($C83:$W83,Q83)=1,2,1)</f>
        <v>0</v>
      </c>
      <c r="AM83" s="10">
        <f>+IF(R83=$B83,Pesos!$L$3,0)*IF(COUNTIF($C83:$W83,R83)=1,2,1)</f>
        <v>0.85</v>
      </c>
      <c r="AN83" s="10">
        <f>+IF(S83=$B83,Pesos!$L$3,0)*IF(COUNTIF($C83:$W83,S83)=1,2,1)</f>
        <v>0.85</v>
      </c>
      <c r="AO83" s="10">
        <f>+IF(T83=$B83,Pesos!$L$3,0)*IF(COUNTIF($C83:$W83,T83)=1,2,1)</f>
        <v>0.85</v>
      </c>
      <c r="AP83" s="10">
        <f>+IF(U83=$B83,Pesos!$L$3,0)*IF(COUNTIF($C83:$W83,U83)=1,2,1)</f>
        <v>0.85</v>
      </c>
      <c r="AQ83" s="10">
        <f>+IF(V83=$B83,Pesos!$L$3,0)*IF(COUNTIF($C83:$W83,V83)=1,2,1)</f>
        <v>0.85</v>
      </c>
      <c r="AR83" s="10">
        <f>+IF(W83=$B83,Pesos!$L$3,0)*IF(COUNTIF($C83:$W83,W83)=1,2,1)</f>
        <v>0.85</v>
      </c>
    </row>
    <row r="84" ht="12.75" customHeight="1">
      <c r="A84" s="1" t="str">
        <f>'1a FASE'!A85</f>
        <v>Machtday 5</v>
      </c>
      <c r="B84" s="8" t="str">
        <f>'1a FASE'!B85</f>
        <v>Napoli</v>
      </c>
      <c r="C84" s="11" t="str">
        <f>'1a FASE'!C85</f>
        <v>Napoli</v>
      </c>
      <c r="D84" s="11" t="str">
        <f>'1a FASE'!D85</f>
        <v>Napoli</v>
      </c>
      <c r="E84" s="11" t="str">
        <f>'1a FASE'!E85</f>
        <v>Napoli</v>
      </c>
      <c r="F84" s="11" t="str">
        <f>'1a FASE'!F85</f>
        <v>Napoli</v>
      </c>
      <c r="G84" s="11" t="str">
        <f>'1a FASE'!G85</f>
        <v>Napoli</v>
      </c>
      <c r="H84" s="11" t="str">
        <f>'1a FASE'!H85</f>
        <v>Napoli</v>
      </c>
      <c r="I84" s="11" t="str">
        <f>'1a FASE'!I85</f>
        <v>Napoli</v>
      </c>
      <c r="J84" s="11" t="str">
        <f>'1a FASE'!J85</f>
        <v>Napoli</v>
      </c>
      <c r="K84" s="11" t="str">
        <f>'1a FASE'!K85</f>
        <v>Napoli</v>
      </c>
      <c r="L84" s="11" t="str">
        <f>'1a FASE'!L85</f>
        <v>Napoli</v>
      </c>
      <c r="M84" s="11" t="str">
        <f>'1a FASE'!M85</f>
        <v>Napoli</v>
      </c>
      <c r="N84" s="11" t="str">
        <f>'1a FASE'!N85</f>
        <v>Napoli</v>
      </c>
      <c r="O84" s="11" t="str">
        <f>'1a FASE'!O85</f>
        <v>Napoli</v>
      </c>
      <c r="P84" s="11" t="str">
        <f>'1a FASE'!P85</f>
        <v>Napoli</v>
      </c>
      <c r="Q84" s="11" t="str">
        <f>'1a FASE'!Q85</f>
        <v>Napoli</v>
      </c>
      <c r="R84" s="11" t="str">
        <f>'1a FASE'!R85</f>
        <v>Napoli</v>
      </c>
      <c r="S84" s="11" t="str">
        <f>'1a FASE'!S85</f>
        <v>Napoli</v>
      </c>
      <c r="T84" s="11" t="str">
        <f>'1a FASE'!T85</f>
        <v>Napoli</v>
      </c>
      <c r="U84" s="11" t="str">
        <f>'1a FASE'!U85</f>
        <v>Napoli</v>
      </c>
      <c r="V84" s="11" t="str">
        <f>'1a FASE'!V85</f>
        <v>Empate</v>
      </c>
      <c r="W84" s="11" t="str">
        <f>'1a FASE'!W85</f>
        <v>Napoli</v>
      </c>
      <c r="X84" s="11">
        <f>+IF(C84=$B84,Pesos!$L$3,0)*IF(COUNTIF($C84:$W84,C84)=1,2,1)</f>
        <v>0.85</v>
      </c>
      <c r="Y84" s="11">
        <f>+IF(D84=$B84,Pesos!$L$3,0)*IF(COUNTIF($C84:$W84,D84)=1,2,1)</f>
        <v>0.85</v>
      </c>
      <c r="Z84" s="11">
        <f>+IF(E84=$B84,Pesos!$L$3,0)*IF(COUNTIF($C84:$W84,E84)=1,2,1)</f>
        <v>0.85</v>
      </c>
      <c r="AA84" s="11">
        <f>+IF(F84=$B84,Pesos!$L$3,0)*IF(COUNTIF($C84:$W84,F84)=1,2,1)</f>
        <v>0.85</v>
      </c>
      <c r="AB84" s="11">
        <f>+IF(G84=$B84,Pesos!$L$3,0)*IF(COUNTIF($C84:$W84,G84)=1,2,1)</f>
        <v>0.85</v>
      </c>
      <c r="AC84" s="11">
        <f>+IF(H84=$B84,Pesos!$L$3,0)*IF(COUNTIF($C84:$W84,H84)=1,2,1)</f>
        <v>0.85</v>
      </c>
      <c r="AD84" s="11">
        <f>+IF(I84=$B84,Pesos!$L$3,0)*IF(COUNTIF($C84:$W84,I84)=1,2,1)</f>
        <v>0.85</v>
      </c>
      <c r="AE84" s="11">
        <f>+IF(J84=$B84,Pesos!$L$3,0)*IF(COUNTIF($C84:$W84,J84)=1,2,1)</f>
        <v>0.85</v>
      </c>
      <c r="AF84" s="11">
        <f>+IF(K84=$B84,Pesos!$L$3,0)*IF(COUNTIF($C84:$W84,K84)=1,2,1)</f>
        <v>0.85</v>
      </c>
      <c r="AG84" s="11">
        <f>+IF(L84=$B84,Pesos!$L$3,0)*IF(COUNTIF($C84:$W84,L84)=1,2,1)</f>
        <v>0.85</v>
      </c>
      <c r="AH84" s="11">
        <f>+IF(M84=$B84,Pesos!$L$3,0)*IF(COUNTIF($C84:$W84,M84)=1,2,1)</f>
        <v>0.85</v>
      </c>
      <c r="AI84" s="11">
        <f>+IF(N84=$B84,Pesos!$L$3,0)*IF(COUNTIF($C84:$W84,N84)=1,2,1)</f>
        <v>0.85</v>
      </c>
      <c r="AJ84" s="11">
        <f>+IF(O84=$B84,Pesos!$L$3,0)*IF(COUNTIF($C84:$W84,O84)=1,2,1)</f>
        <v>0.85</v>
      </c>
      <c r="AK84" s="11">
        <f>+IF(P84=$B84,Pesos!$L$3,0)*IF(COUNTIF($C84:$W84,P84)=1,2,1)</f>
        <v>0.85</v>
      </c>
      <c r="AL84" s="11">
        <f>+IF(Q84=$B84,Pesos!$L$3,0)*IF(COUNTIF($C84:$W84,Q84)=1,2,1)</f>
        <v>0.85</v>
      </c>
      <c r="AM84" s="11">
        <f>+IF(R84=$B84,Pesos!$L$3,0)*IF(COUNTIF($C84:$W84,R84)=1,2,1)</f>
        <v>0.85</v>
      </c>
      <c r="AN84" s="11">
        <f>+IF(S84=$B84,Pesos!$L$3,0)*IF(COUNTIF($C84:$W84,S84)=1,2,1)</f>
        <v>0.85</v>
      </c>
      <c r="AO84" s="11">
        <f>+IF(T84=$B84,Pesos!$L$3,0)*IF(COUNTIF($C84:$W84,T84)=1,2,1)</f>
        <v>0.85</v>
      </c>
      <c r="AP84" s="11">
        <f>+IF(U84=$B84,Pesos!$L$3,0)*IF(COUNTIF($C84:$W84,U84)=1,2,1)</f>
        <v>0.85</v>
      </c>
      <c r="AQ84" s="11">
        <f>+IF(V84=$B84,Pesos!$L$3,0)*IF(COUNTIF($C84:$W84,V84)=1,2,1)</f>
        <v>0</v>
      </c>
      <c r="AR84" s="11">
        <f>+IF(W84=$B84,Pesos!$L$3,0)*IF(COUNTIF($C84:$W84,W84)=1,2,1)</f>
        <v>0.85</v>
      </c>
    </row>
    <row r="85" ht="12.75" customHeight="1">
      <c r="A85" s="1" t="str">
        <f>'1a FASE'!A86</f>
        <v>Machtday 5</v>
      </c>
      <c r="B85" s="8" t="str">
        <f>'1a FASE'!B86</f>
        <v>Empate</v>
      </c>
      <c r="C85" s="10" t="str">
        <f>'1a FASE'!C86</f>
        <v>Empate</v>
      </c>
      <c r="D85" s="10" t="str">
        <f>'1a FASE'!D86</f>
        <v>Athletic Bilbao</v>
      </c>
      <c r="E85" s="10" t="str">
        <f>'1a FASE'!E86</f>
        <v>Athletic Bilbao</v>
      </c>
      <c r="F85" s="10" t="str">
        <f>'1a FASE'!F86</f>
        <v>Athletic Bilbao</v>
      </c>
      <c r="G85" s="10" t="str">
        <f>'1a FASE'!G86</f>
        <v>Athletic Bilbao</v>
      </c>
      <c r="H85" s="10" t="str">
        <f>'1a FASE'!H86</f>
        <v>Slavia Praga</v>
      </c>
      <c r="I85" s="10" t="str">
        <f>'1a FASE'!I86</f>
        <v>Athletic Bilbao</v>
      </c>
      <c r="J85" s="10" t="str">
        <f>'1a FASE'!J86</f>
        <v>Slavia Praga</v>
      </c>
      <c r="K85" s="10" t="str">
        <f>'1a FASE'!K86</f>
        <v>Athletic Bilbao</v>
      </c>
      <c r="L85" s="10" t="str">
        <f>'1a FASE'!L86</f>
        <v>Empate</v>
      </c>
      <c r="M85" s="10" t="str">
        <f>'1a FASE'!M86</f>
        <v>Empate</v>
      </c>
      <c r="N85" s="10" t="str">
        <f>'1a FASE'!N86</f>
        <v>Slavia Praga</v>
      </c>
      <c r="O85" s="10" t="str">
        <f>'1a FASE'!O86</f>
        <v>Athletic Bilbao</v>
      </c>
      <c r="P85" s="10" t="str">
        <f>'1a FASE'!P86</f>
        <v>Slavia Praga</v>
      </c>
      <c r="Q85" s="10" t="str">
        <f>'1a FASE'!Q86</f>
        <v>Athletic Bilbao</v>
      </c>
      <c r="R85" s="10" t="str">
        <f>'1a FASE'!R86</f>
        <v>Athletic Bilbao</v>
      </c>
      <c r="S85" s="10" t="str">
        <f>'1a FASE'!S86</f>
        <v>Athletic Bilbao</v>
      </c>
      <c r="T85" s="10" t="str">
        <f>'1a FASE'!T86</f>
        <v>Slavia Praga</v>
      </c>
      <c r="U85" s="10" t="str">
        <f>'1a FASE'!U86</f>
        <v>Athletic Bilbao</v>
      </c>
      <c r="V85" s="10" t="str">
        <f>'1a FASE'!V86</f>
        <v>Athletic Bilbao</v>
      </c>
      <c r="W85" s="10" t="str">
        <f>'1a FASE'!W86</f>
        <v>Athletic Bilbao</v>
      </c>
      <c r="X85" s="10">
        <f>+IF(C85=$B85,Pesos!$L$3,0)*IF(COUNTIF($C85:$W85,C85)=1,2,1)</f>
        <v>0.85</v>
      </c>
      <c r="Y85" s="10">
        <f>+IF(D85=$B85,Pesos!$L$3,0)*IF(COUNTIF($C85:$W85,D85)=1,2,1)</f>
        <v>0</v>
      </c>
      <c r="Z85" s="10">
        <f>+IF(E85=$B85,Pesos!$L$3,0)*IF(COUNTIF($C85:$W85,E85)=1,2,1)</f>
        <v>0</v>
      </c>
      <c r="AA85" s="10">
        <f>+IF(F85=$B85,Pesos!$L$3,0)*IF(COUNTIF($C85:$W85,F85)=1,2,1)</f>
        <v>0</v>
      </c>
      <c r="AB85" s="10">
        <f>+IF(G85=$B85,Pesos!$L$3,0)*IF(COUNTIF($C85:$W85,G85)=1,2,1)</f>
        <v>0</v>
      </c>
      <c r="AC85" s="10">
        <f>+IF(H85=$B85,Pesos!$L$3,0)*IF(COUNTIF($C85:$W85,H85)=1,2,1)</f>
        <v>0</v>
      </c>
      <c r="AD85" s="10">
        <f>+IF(I85=$B85,Pesos!$L$3,0)*IF(COUNTIF($C85:$W85,I85)=1,2,1)</f>
        <v>0</v>
      </c>
      <c r="AE85" s="10">
        <f>+IF(J85=$B85,Pesos!$L$3,0)*IF(COUNTIF($C85:$W85,J85)=1,2,1)</f>
        <v>0</v>
      </c>
      <c r="AF85" s="10">
        <f>+IF(K85=$B85,Pesos!$L$3,0)*IF(COUNTIF($C85:$W85,K85)=1,2,1)</f>
        <v>0</v>
      </c>
      <c r="AG85" s="10">
        <f>+IF(L85=$B85,Pesos!$L$3,0)*IF(COUNTIF($C85:$W85,L85)=1,2,1)</f>
        <v>0.85</v>
      </c>
      <c r="AH85" s="10">
        <f>+IF(M85=$B85,Pesos!$L$3,0)*IF(COUNTIF($C85:$W85,M85)=1,2,1)</f>
        <v>0.85</v>
      </c>
      <c r="AI85" s="10">
        <f>+IF(N85=$B85,Pesos!$L$3,0)*IF(COUNTIF($C85:$W85,N85)=1,2,1)</f>
        <v>0</v>
      </c>
      <c r="AJ85" s="10">
        <f>+IF(O85=$B85,Pesos!$L$3,0)*IF(COUNTIF($C85:$W85,O85)=1,2,1)</f>
        <v>0</v>
      </c>
      <c r="AK85" s="10">
        <f>+IF(P85=$B85,Pesos!$L$3,0)*IF(COUNTIF($C85:$W85,P85)=1,2,1)</f>
        <v>0</v>
      </c>
      <c r="AL85" s="10">
        <f>+IF(Q85=$B85,Pesos!$L$3,0)*IF(COUNTIF($C85:$W85,Q85)=1,2,1)</f>
        <v>0</v>
      </c>
      <c r="AM85" s="10">
        <f>+IF(R85=$B85,Pesos!$L$3,0)*IF(COUNTIF($C85:$W85,R85)=1,2,1)</f>
        <v>0</v>
      </c>
      <c r="AN85" s="10">
        <f>+IF(S85=$B85,Pesos!$L$3,0)*IF(COUNTIF($C85:$W85,S85)=1,2,1)</f>
        <v>0</v>
      </c>
      <c r="AO85" s="10">
        <f>+IF(T85=$B85,Pesos!$L$3,0)*IF(COUNTIF($C85:$W85,T85)=1,2,1)</f>
        <v>0</v>
      </c>
      <c r="AP85" s="10">
        <f>+IF(U85=$B85,Pesos!$L$3,0)*IF(COUNTIF($C85:$W85,U85)=1,2,1)</f>
        <v>0</v>
      </c>
      <c r="AQ85" s="10">
        <f>+IF(V85=$B85,Pesos!$L$3,0)*IF(COUNTIF($C85:$W85,V85)=1,2,1)</f>
        <v>0</v>
      </c>
      <c r="AR85" s="10">
        <f>+IF(W85=$B85,Pesos!$L$3,0)*IF(COUNTIF($C85:$W85,W85)=1,2,1)</f>
        <v>0</v>
      </c>
    </row>
    <row r="86" ht="12.75" customHeight="1">
      <c r="A86" s="1" t="str">
        <f>'1a FASE'!A87</f>
        <v>Machtday 5</v>
      </c>
      <c r="B86" s="8" t="str">
        <f>'1a FASE'!B87</f>
        <v>Juventus</v>
      </c>
      <c r="C86" s="11" t="str">
        <f>'1a FASE'!C87</f>
        <v>Juventus</v>
      </c>
      <c r="D86" s="11" t="str">
        <f>'1a FASE'!D87</f>
        <v>Juventus</v>
      </c>
      <c r="E86" s="11" t="str">
        <f>'1a FASE'!E87</f>
        <v>Juventus</v>
      </c>
      <c r="F86" s="11" t="str">
        <f>'1a FASE'!F87</f>
        <v>Juventus</v>
      </c>
      <c r="G86" s="11" t="str">
        <f>'1a FASE'!G87</f>
        <v>Juventus</v>
      </c>
      <c r="H86" s="11" t="str">
        <f>'1a FASE'!H87</f>
        <v>Juventus</v>
      </c>
      <c r="I86" s="11" t="str">
        <f>'1a FASE'!I87</f>
        <v>Juventus</v>
      </c>
      <c r="J86" s="11" t="str">
        <f>'1a FASE'!J87</f>
        <v>Juventus</v>
      </c>
      <c r="K86" s="11" t="str">
        <f>'1a FASE'!K87</f>
        <v>Juventus</v>
      </c>
      <c r="L86" s="11" t="str">
        <f>'1a FASE'!L87</f>
        <v>Juventus</v>
      </c>
      <c r="M86" s="11" t="str">
        <f>'1a FASE'!M87</f>
        <v>Juventus</v>
      </c>
      <c r="N86" s="11" t="str">
        <f>'1a FASE'!N87</f>
        <v>Juventus</v>
      </c>
      <c r="O86" s="11" t="str">
        <f>'1a FASE'!O87</f>
        <v>Juventus</v>
      </c>
      <c r="P86" s="11" t="str">
        <f>'1a FASE'!P87</f>
        <v>Juventus</v>
      </c>
      <c r="Q86" s="11" t="str">
        <f>'1a FASE'!Q87</f>
        <v>Juventus</v>
      </c>
      <c r="R86" s="11" t="str">
        <f>'1a FASE'!R87</f>
        <v>Juventus</v>
      </c>
      <c r="S86" s="11" t="str">
        <f>'1a FASE'!S87</f>
        <v>Juventus</v>
      </c>
      <c r="T86" s="11" t="str">
        <f>'1a FASE'!T87</f>
        <v>Empate</v>
      </c>
      <c r="U86" s="11" t="str">
        <f>'1a FASE'!U87</f>
        <v>Juventus</v>
      </c>
      <c r="V86" s="11" t="str">
        <f>'1a FASE'!V87</f>
        <v>Juventus</v>
      </c>
      <c r="W86" s="11" t="str">
        <f>'1a FASE'!W87</f>
        <v>Juventus</v>
      </c>
      <c r="X86" s="11">
        <f>+IF(C86=$B86,Pesos!$L$3,0)*IF(COUNTIF($C86:$W86,C86)=1,2,1)</f>
        <v>0.85</v>
      </c>
      <c r="Y86" s="11">
        <f>+IF(D86=$B86,Pesos!$L$3,0)*IF(COUNTIF($C86:$W86,D86)=1,2,1)</f>
        <v>0.85</v>
      </c>
      <c r="Z86" s="11">
        <f>+IF(E86=$B86,Pesos!$L$3,0)*IF(COUNTIF($C86:$W86,E86)=1,2,1)</f>
        <v>0.85</v>
      </c>
      <c r="AA86" s="11">
        <f>+IF(F86=$B86,Pesos!$L$3,0)*IF(COUNTIF($C86:$W86,F86)=1,2,1)</f>
        <v>0.85</v>
      </c>
      <c r="AB86" s="11">
        <f>+IF(G86=$B86,Pesos!$L$3,0)*IF(COUNTIF($C86:$W86,G86)=1,2,1)</f>
        <v>0.85</v>
      </c>
      <c r="AC86" s="11">
        <f>+IF(H86=$B86,Pesos!$L$3,0)*IF(COUNTIF($C86:$W86,H86)=1,2,1)</f>
        <v>0.85</v>
      </c>
      <c r="AD86" s="11">
        <f>+IF(I86=$B86,Pesos!$L$3,0)*IF(COUNTIF($C86:$W86,I86)=1,2,1)</f>
        <v>0.85</v>
      </c>
      <c r="AE86" s="11">
        <f>+IF(J86=$B86,Pesos!$L$3,0)*IF(COUNTIF($C86:$W86,J86)=1,2,1)</f>
        <v>0.85</v>
      </c>
      <c r="AF86" s="11">
        <f>+IF(K86=$B86,Pesos!$L$3,0)*IF(COUNTIF($C86:$W86,K86)=1,2,1)</f>
        <v>0.85</v>
      </c>
      <c r="AG86" s="11">
        <f>+IF(L86=$B86,Pesos!$L$3,0)*IF(COUNTIF($C86:$W86,L86)=1,2,1)</f>
        <v>0.85</v>
      </c>
      <c r="AH86" s="11">
        <f>+IF(M86=$B86,Pesos!$L$3,0)*IF(COUNTIF($C86:$W86,M86)=1,2,1)</f>
        <v>0.85</v>
      </c>
      <c r="AI86" s="11">
        <f>+IF(N86=$B86,Pesos!$L$3,0)*IF(COUNTIF($C86:$W86,N86)=1,2,1)</f>
        <v>0.85</v>
      </c>
      <c r="AJ86" s="11">
        <f>+IF(O86=$B86,Pesos!$L$3,0)*IF(COUNTIF($C86:$W86,O86)=1,2,1)</f>
        <v>0.85</v>
      </c>
      <c r="AK86" s="11">
        <f>+IF(P86=$B86,Pesos!$L$3,0)*IF(COUNTIF($C86:$W86,P86)=1,2,1)</f>
        <v>0.85</v>
      </c>
      <c r="AL86" s="11">
        <f>+IF(Q86=$B86,Pesos!$L$3,0)*IF(COUNTIF($C86:$W86,Q86)=1,2,1)</f>
        <v>0.85</v>
      </c>
      <c r="AM86" s="11">
        <f>+IF(R86=$B86,Pesos!$L$3,0)*IF(COUNTIF($C86:$W86,R86)=1,2,1)</f>
        <v>0.85</v>
      </c>
      <c r="AN86" s="11">
        <f>+IF(S86=$B86,Pesos!$L$3,0)*IF(COUNTIF($C86:$W86,S86)=1,2,1)</f>
        <v>0.85</v>
      </c>
      <c r="AO86" s="11">
        <f>+IF(T86=$B86,Pesos!$L$3,0)*IF(COUNTIF($C86:$W86,T86)=1,2,1)</f>
        <v>0</v>
      </c>
      <c r="AP86" s="11">
        <f>+IF(U86=$B86,Pesos!$L$3,0)*IF(COUNTIF($C86:$W86,U86)=1,2,1)</f>
        <v>0.85</v>
      </c>
      <c r="AQ86" s="11">
        <f>+IF(V86=$B86,Pesos!$L$3,0)*IF(COUNTIF($C86:$W86,V86)=1,2,1)</f>
        <v>0.85</v>
      </c>
      <c r="AR86" s="11">
        <f>+IF(W86=$B86,Pesos!$L$3,0)*IF(COUNTIF($C86:$W86,W86)=1,2,1)</f>
        <v>0.85</v>
      </c>
    </row>
    <row r="87" ht="12.75" customHeight="1">
      <c r="A87" s="1" t="str">
        <f>'1a FASE'!A88</f>
        <v>Machtday 5</v>
      </c>
      <c r="B87" s="8" t="str">
        <f>'1a FASE'!B88</f>
        <v>Olympique de Marselha</v>
      </c>
      <c r="C87" s="10" t="str">
        <f>'1a FASE'!C88</f>
        <v>Newcastle</v>
      </c>
      <c r="D87" s="10" t="str">
        <f>'1a FASE'!D88</f>
        <v>Olympique de Marselha</v>
      </c>
      <c r="E87" s="10" t="str">
        <f>'1a FASE'!E88</f>
        <v>Newcastle</v>
      </c>
      <c r="F87" s="10" t="str">
        <f>'1a FASE'!F88</f>
        <v>Olympique de Marselha</v>
      </c>
      <c r="G87" s="10" t="str">
        <f>'1a FASE'!G88</f>
        <v>Empate</v>
      </c>
      <c r="H87" s="10" t="str">
        <f>'1a FASE'!H88</f>
        <v>Newcastle</v>
      </c>
      <c r="I87" s="10" t="str">
        <f>'1a FASE'!I88</f>
        <v>Olympique de Marselha</v>
      </c>
      <c r="J87" s="10" t="str">
        <f>'1a FASE'!J88</f>
        <v>Empate</v>
      </c>
      <c r="K87" s="10" t="str">
        <f>'1a FASE'!K88</f>
        <v>Newcastle</v>
      </c>
      <c r="L87" s="10" t="str">
        <f>'1a FASE'!L88</f>
        <v>Empate</v>
      </c>
      <c r="M87" s="10" t="str">
        <f>'1a FASE'!M88</f>
        <v>Empate</v>
      </c>
      <c r="N87" s="10" t="str">
        <f>'1a FASE'!N88</f>
        <v>Olympique de Marselha</v>
      </c>
      <c r="O87" s="10" t="str">
        <f>'1a FASE'!O88</f>
        <v>Empate</v>
      </c>
      <c r="P87" s="10" t="str">
        <f>'1a FASE'!P88</f>
        <v>Empate</v>
      </c>
      <c r="Q87" s="10" t="str">
        <f>'1a FASE'!Q88</f>
        <v>Empate</v>
      </c>
      <c r="R87" s="10" t="str">
        <f>'1a FASE'!R88</f>
        <v>Olympique de Marselha</v>
      </c>
      <c r="S87" s="10" t="str">
        <f>'1a FASE'!S88</f>
        <v>Olympique de Marselha</v>
      </c>
      <c r="T87" s="10" t="str">
        <f>'1a FASE'!T88</f>
        <v>Olympique de Marselha</v>
      </c>
      <c r="U87" s="10" t="str">
        <f>'1a FASE'!U88</f>
        <v>Newcastle</v>
      </c>
      <c r="V87" s="10" t="str">
        <f>'1a FASE'!V88</f>
        <v>Olympique de Marselha</v>
      </c>
      <c r="W87" s="10" t="str">
        <f>'1a FASE'!W88</f>
        <v>Newcastle</v>
      </c>
      <c r="X87" s="10">
        <f>+IF(C87=$B87,Pesos!$L$3,0)*IF(COUNTIF($C87:$W87,C87)=1,2,1)</f>
        <v>0</v>
      </c>
      <c r="Y87" s="10">
        <f>+IF(D87=$B87,Pesos!$L$3,0)*IF(COUNTIF($C87:$W87,D87)=1,2,1)</f>
        <v>0.85</v>
      </c>
      <c r="Z87" s="10">
        <f>+IF(E87=$B87,Pesos!$L$3,0)*IF(COUNTIF($C87:$W87,E87)=1,2,1)</f>
        <v>0</v>
      </c>
      <c r="AA87" s="10">
        <f>+IF(F87=$B87,Pesos!$L$3,0)*IF(COUNTIF($C87:$W87,F87)=1,2,1)</f>
        <v>0.85</v>
      </c>
      <c r="AB87" s="10">
        <f>+IF(G87=$B87,Pesos!$L$3,0)*IF(COUNTIF($C87:$W87,G87)=1,2,1)</f>
        <v>0</v>
      </c>
      <c r="AC87" s="10">
        <f>+IF(H87=$B87,Pesos!$L$3,0)*IF(COUNTIF($C87:$W87,H87)=1,2,1)</f>
        <v>0</v>
      </c>
      <c r="AD87" s="10">
        <f>+IF(I87=$B87,Pesos!$L$3,0)*IF(COUNTIF($C87:$W87,I87)=1,2,1)</f>
        <v>0.85</v>
      </c>
      <c r="AE87" s="10">
        <f>+IF(J87=$B87,Pesos!$L$3,0)*IF(COUNTIF($C87:$W87,J87)=1,2,1)</f>
        <v>0</v>
      </c>
      <c r="AF87" s="10">
        <f>+IF(K87=$B87,Pesos!$L$3,0)*IF(COUNTIF($C87:$W87,K87)=1,2,1)</f>
        <v>0</v>
      </c>
      <c r="AG87" s="10">
        <f>+IF(L87=$B87,Pesos!$L$3,0)*IF(COUNTIF($C87:$W87,L87)=1,2,1)</f>
        <v>0</v>
      </c>
      <c r="AH87" s="10">
        <f>+IF(M87=$B87,Pesos!$L$3,0)*IF(COUNTIF($C87:$W87,M87)=1,2,1)</f>
        <v>0</v>
      </c>
      <c r="AI87" s="10">
        <f>+IF(N87=$B87,Pesos!$L$3,0)*IF(COUNTIF($C87:$W87,N87)=1,2,1)</f>
        <v>0.85</v>
      </c>
      <c r="AJ87" s="10">
        <f>+IF(O87=$B87,Pesos!$L$3,0)*IF(COUNTIF($C87:$W87,O87)=1,2,1)</f>
        <v>0</v>
      </c>
      <c r="AK87" s="10">
        <f>+IF(P87=$B87,Pesos!$L$3,0)*IF(COUNTIF($C87:$W87,P87)=1,2,1)</f>
        <v>0</v>
      </c>
      <c r="AL87" s="10">
        <f>+IF(Q87=$B87,Pesos!$L$3,0)*IF(COUNTIF($C87:$W87,Q87)=1,2,1)</f>
        <v>0</v>
      </c>
      <c r="AM87" s="10">
        <f>+IF(R87=$B87,Pesos!$L$3,0)*IF(COUNTIF($C87:$W87,R87)=1,2,1)</f>
        <v>0.85</v>
      </c>
      <c r="AN87" s="10">
        <f>+IF(S87=$B87,Pesos!$L$3,0)*IF(COUNTIF($C87:$W87,S87)=1,2,1)</f>
        <v>0.85</v>
      </c>
      <c r="AO87" s="10">
        <f>+IF(T87=$B87,Pesos!$L$3,0)*IF(COUNTIF($C87:$W87,T87)=1,2,1)</f>
        <v>0.85</v>
      </c>
      <c r="AP87" s="10">
        <f>+IF(U87=$B87,Pesos!$L$3,0)*IF(COUNTIF($C87:$W87,U87)=1,2,1)</f>
        <v>0</v>
      </c>
      <c r="AQ87" s="10">
        <f>+IF(V87=$B87,Pesos!$L$3,0)*IF(COUNTIF($C87:$W87,V87)=1,2,1)</f>
        <v>0.85</v>
      </c>
      <c r="AR87" s="10">
        <f>+IF(W87=$B87,Pesos!$L$3,0)*IF(COUNTIF($C87:$W87,W87)=1,2,1)</f>
        <v>0</v>
      </c>
    </row>
    <row r="88" ht="12.75" customHeight="1">
      <c r="A88" s="1" t="str">
        <f>'1a FASE'!A89</f>
        <v>Machtday 5</v>
      </c>
      <c r="B88" s="8" t="str">
        <f>'1a FASE'!B89</f>
        <v>Copenhagen</v>
      </c>
      <c r="C88" s="11" t="str">
        <f>'1a FASE'!C89</f>
        <v>Copenhagen</v>
      </c>
      <c r="D88" s="11" t="str">
        <f>'1a FASE'!D89</f>
        <v>Copenhagen</v>
      </c>
      <c r="E88" s="11" t="str">
        <f>'1a FASE'!E89</f>
        <v>Copenhagen</v>
      </c>
      <c r="F88" s="11" t="str">
        <f>'1a FASE'!F89</f>
        <v>Copenhagen</v>
      </c>
      <c r="G88" s="11" t="str">
        <f>'1a FASE'!G89</f>
        <v>Copenhagen</v>
      </c>
      <c r="H88" s="11" t="str">
        <f>'1a FASE'!H89</f>
        <v>Kairat</v>
      </c>
      <c r="I88" s="11" t="str">
        <f>'1a FASE'!I89</f>
        <v>Copenhagen</v>
      </c>
      <c r="J88" s="11" t="str">
        <f>'1a FASE'!J89</f>
        <v>Copenhagen</v>
      </c>
      <c r="K88" s="11" t="str">
        <f>'1a FASE'!K89</f>
        <v>Copenhagen</v>
      </c>
      <c r="L88" s="11" t="str">
        <f>'1a FASE'!L89</f>
        <v>Copenhagen</v>
      </c>
      <c r="M88" s="11" t="str">
        <f>'1a FASE'!M89</f>
        <v>Copenhagen</v>
      </c>
      <c r="N88" s="11" t="str">
        <f>'1a FASE'!N89</f>
        <v>Copenhagen</v>
      </c>
      <c r="O88" s="11" t="str">
        <f>'1a FASE'!O89</f>
        <v>Copenhagen</v>
      </c>
      <c r="P88" s="11" t="str">
        <f>'1a FASE'!P89</f>
        <v>Copenhagen</v>
      </c>
      <c r="Q88" s="11" t="str">
        <f>'1a FASE'!Q89</f>
        <v>Copenhagen</v>
      </c>
      <c r="R88" s="11" t="str">
        <f>'1a FASE'!R89</f>
        <v>Copenhagen</v>
      </c>
      <c r="S88" s="11" t="str">
        <f>'1a FASE'!S89</f>
        <v>Copenhagen</v>
      </c>
      <c r="T88" s="11" t="str">
        <f>'1a FASE'!T89</f>
        <v>Copenhagen</v>
      </c>
      <c r="U88" s="11" t="str">
        <f>'1a FASE'!U89</f>
        <v>Empate</v>
      </c>
      <c r="V88" s="11" t="str">
        <f>'1a FASE'!V89</f>
        <v>Copenhagen</v>
      </c>
      <c r="W88" s="11" t="str">
        <f>'1a FASE'!W89</f>
        <v>Copenhagen</v>
      </c>
      <c r="X88" s="11">
        <f>+IF(C88=$B88,Pesos!$L$3,0)*IF(COUNTIF($C88:$W88,C88)=1,2,1)</f>
        <v>0.85</v>
      </c>
      <c r="Y88" s="11">
        <f>+IF(D88=$B88,Pesos!$L$3,0)*IF(COUNTIF($C88:$W88,D88)=1,2,1)</f>
        <v>0.85</v>
      </c>
      <c r="Z88" s="11">
        <f>+IF(E88=$B88,Pesos!$L$3,0)*IF(COUNTIF($C88:$W88,E88)=1,2,1)</f>
        <v>0.85</v>
      </c>
      <c r="AA88" s="11">
        <f>+IF(F88=$B88,Pesos!$L$3,0)*IF(COUNTIF($C88:$W88,F88)=1,2,1)</f>
        <v>0.85</v>
      </c>
      <c r="AB88" s="11">
        <f>+IF(G88=$B88,Pesos!$L$3,0)*IF(COUNTIF($C88:$W88,G88)=1,2,1)</f>
        <v>0.85</v>
      </c>
      <c r="AC88" s="11">
        <f>+IF(H88=$B88,Pesos!$L$3,0)*IF(COUNTIF($C88:$W88,H88)=1,2,1)</f>
        <v>0</v>
      </c>
      <c r="AD88" s="11">
        <f>+IF(I88=$B88,Pesos!$L$3,0)*IF(COUNTIF($C88:$W88,I88)=1,2,1)</f>
        <v>0.85</v>
      </c>
      <c r="AE88" s="11">
        <f>+IF(J88=$B88,Pesos!$L$3,0)*IF(COUNTIF($C88:$W88,J88)=1,2,1)</f>
        <v>0.85</v>
      </c>
      <c r="AF88" s="11">
        <f>+IF(K88=$B88,Pesos!$L$3,0)*IF(COUNTIF($C88:$W88,K88)=1,2,1)</f>
        <v>0.85</v>
      </c>
      <c r="AG88" s="11">
        <f>+IF(L88=$B88,Pesos!$L$3,0)*IF(COUNTIF($C88:$W88,L88)=1,2,1)</f>
        <v>0.85</v>
      </c>
      <c r="AH88" s="11">
        <f>+IF(M88=$B88,Pesos!$L$3,0)*IF(COUNTIF($C88:$W88,M88)=1,2,1)</f>
        <v>0.85</v>
      </c>
      <c r="AI88" s="11">
        <f>+IF(N88=$B88,Pesos!$L$3,0)*IF(COUNTIF($C88:$W88,N88)=1,2,1)</f>
        <v>0.85</v>
      </c>
      <c r="AJ88" s="11">
        <f>+IF(O88=$B88,Pesos!$L$3,0)*IF(COUNTIF($C88:$W88,O88)=1,2,1)</f>
        <v>0.85</v>
      </c>
      <c r="AK88" s="11">
        <f>+IF(P88=$B88,Pesos!$L$3,0)*IF(COUNTIF($C88:$W88,P88)=1,2,1)</f>
        <v>0.85</v>
      </c>
      <c r="AL88" s="11">
        <f>+IF(Q88=$B88,Pesos!$L$3,0)*IF(COUNTIF($C88:$W88,Q88)=1,2,1)</f>
        <v>0.85</v>
      </c>
      <c r="AM88" s="11">
        <f>+IF(R88=$B88,Pesos!$L$3,0)*IF(COUNTIF($C88:$W88,R88)=1,2,1)</f>
        <v>0.85</v>
      </c>
      <c r="AN88" s="11">
        <f>+IF(S88=$B88,Pesos!$L$3,0)*IF(COUNTIF($C88:$W88,S88)=1,2,1)</f>
        <v>0.85</v>
      </c>
      <c r="AO88" s="11">
        <f>+IF(T88=$B88,Pesos!$L$3,0)*IF(COUNTIF($C88:$W88,T88)=1,2,1)</f>
        <v>0.85</v>
      </c>
      <c r="AP88" s="11">
        <f>+IF(U88=$B88,Pesos!$L$3,0)*IF(COUNTIF($C88:$W88,U88)=1,2,1)</f>
        <v>0</v>
      </c>
      <c r="AQ88" s="11">
        <f>+IF(V88=$B88,Pesos!$L$3,0)*IF(COUNTIF($C88:$W88,V88)=1,2,1)</f>
        <v>0.85</v>
      </c>
      <c r="AR88" s="11">
        <f>+IF(W88=$B88,Pesos!$L$3,0)*IF(COUNTIF($C88:$W88,W88)=1,2,1)</f>
        <v>0.85</v>
      </c>
    </row>
    <row r="89" ht="12.75" customHeight="1">
      <c r="A89" s="1" t="str">
        <f>'1a FASE'!A90</f>
        <v>Machtday 5</v>
      </c>
      <c r="B89" s="8" t="str">
        <f>'1a FASE'!B90</f>
        <v>Empate</v>
      </c>
      <c r="C89" s="10" t="str">
        <f>'1a FASE'!C90</f>
        <v>Monaco</v>
      </c>
      <c r="D89" s="10" t="str">
        <f>'1a FASE'!D90</f>
        <v>Monaco</v>
      </c>
      <c r="E89" s="10" t="str">
        <f>'1a FASE'!E90</f>
        <v>Monaco</v>
      </c>
      <c r="F89" s="10" t="str">
        <f>'1a FASE'!F90</f>
        <v>Monaco</v>
      </c>
      <c r="G89" s="10" t="str">
        <f>'1a FASE'!G90</f>
        <v>Pafos</v>
      </c>
      <c r="H89" s="10" t="str">
        <f>'1a FASE'!H90</f>
        <v>Monaco</v>
      </c>
      <c r="I89" s="10" t="str">
        <f>'1a FASE'!I90</f>
        <v>Monaco</v>
      </c>
      <c r="J89" s="10" t="str">
        <f>'1a FASE'!J90</f>
        <v>Monaco</v>
      </c>
      <c r="K89" s="10" t="str">
        <f>'1a FASE'!K90</f>
        <v>Empate</v>
      </c>
      <c r="L89" s="10" t="str">
        <f>'1a FASE'!L90</f>
        <v>Monaco</v>
      </c>
      <c r="M89" s="10" t="str">
        <f>'1a FASE'!M90</f>
        <v>Monaco</v>
      </c>
      <c r="N89" s="10" t="str">
        <f>'1a FASE'!N90</f>
        <v>Monaco</v>
      </c>
      <c r="O89" s="10" t="str">
        <f>'1a FASE'!O90</f>
        <v>Pafos</v>
      </c>
      <c r="P89" s="10" t="str">
        <f>'1a FASE'!P90</f>
        <v>Monaco</v>
      </c>
      <c r="Q89" s="10" t="str">
        <f>'1a FASE'!Q90</f>
        <v>Monaco</v>
      </c>
      <c r="R89" s="10" t="str">
        <f>'1a FASE'!R90</f>
        <v>Monaco</v>
      </c>
      <c r="S89" s="10" t="str">
        <f>'1a FASE'!S90</f>
        <v>Monaco</v>
      </c>
      <c r="T89" s="10" t="str">
        <f>'1a FASE'!T90</f>
        <v>Monaco</v>
      </c>
      <c r="U89" s="10" t="str">
        <f>'1a FASE'!U90</f>
        <v>Monaco</v>
      </c>
      <c r="V89" s="10" t="str">
        <f>'1a FASE'!V90</f>
        <v>Monaco</v>
      </c>
      <c r="W89" s="10" t="str">
        <f>'1a FASE'!W90</f>
        <v>Monaco</v>
      </c>
      <c r="X89" s="10">
        <f>+IF(C89=$B89,Pesos!$L$3,0)*IF(COUNTIF($C89:$W89,C89)=1,2,1)</f>
        <v>0</v>
      </c>
      <c r="Y89" s="10">
        <f>+IF(D89=$B89,Pesos!$L$3,0)*IF(COUNTIF($C89:$W89,D89)=1,2,1)</f>
        <v>0</v>
      </c>
      <c r="Z89" s="10">
        <f>+IF(E89=$B89,Pesos!$L$3,0)*IF(COUNTIF($C89:$W89,E89)=1,2,1)</f>
        <v>0</v>
      </c>
      <c r="AA89" s="10">
        <f>+IF(F89=$B89,Pesos!$L$3,0)*IF(COUNTIF($C89:$W89,F89)=1,2,1)</f>
        <v>0</v>
      </c>
      <c r="AB89" s="10">
        <f>+IF(G89=$B89,Pesos!$L$3,0)*IF(COUNTIF($C89:$W89,G89)=1,2,1)</f>
        <v>0</v>
      </c>
      <c r="AC89" s="10">
        <f>+IF(H89=$B89,Pesos!$L$3,0)*IF(COUNTIF($C89:$W89,H89)=1,2,1)</f>
        <v>0</v>
      </c>
      <c r="AD89" s="10">
        <f>+IF(I89=$B89,Pesos!$L$3,0)*IF(COUNTIF($C89:$W89,I89)=1,2,1)</f>
        <v>0</v>
      </c>
      <c r="AE89" s="10">
        <f>+IF(J89=$B89,Pesos!$L$3,0)*IF(COUNTIF($C89:$W89,J89)=1,2,1)</f>
        <v>0</v>
      </c>
      <c r="AF89" s="10">
        <f>+IF(K89=$B89,Pesos!$L$3,0)*IF(COUNTIF($C89:$W89,K89)=1,2,1)</f>
        <v>1.7</v>
      </c>
      <c r="AG89" s="10">
        <f>+IF(L89=$B89,Pesos!$L$3,0)*IF(COUNTIF($C89:$W89,L89)=1,2,1)</f>
        <v>0</v>
      </c>
      <c r="AH89" s="10">
        <f>+IF(M89=$B89,Pesos!$L$3,0)*IF(COUNTIF($C89:$W89,M89)=1,2,1)</f>
        <v>0</v>
      </c>
      <c r="AI89" s="10">
        <f>+IF(N89=$B89,Pesos!$L$3,0)*IF(COUNTIF($C89:$W89,N89)=1,2,1)</f>
        <v>0</v>
      </c>
      <c r="AJ89" s="10">
        <f>+IF(O89=$B89,Pesos!$L$3,0)*IF(COUNTIF($C89:$W89,O89)=1,2,1)</f>
        <v>0</v>
      </c>
      <c r="AK89" s="10">
        <f>+IF(P89=$B89,Pesos!$L$3,0)*IF(COUNTIF($C89:$W89,P89)=1,2,1)</f>
        <v>0</v>
      </c>
      <c r="AL89" s="10">
        <f>+IF(Q89=$B89,Pesos!$L$3,0)*IF(COUNTIF($C89:$W89,Q89)=1,2,1)</f>
        <v>0</v>
      </c>
      <c r="AM89" s="10">
        <f>+IF(R89=$B89,Pesos!$L$3,0)*IF(COUNTIF($C89:$W89,R89)=1,2,1)</f>
        <v>0</v>
      </c>
      <c r="AN89" s="10">
        <f>+IF(S89=$B89,Pesos!$L$3,0)*IF(COUNTIF($C89:$W89,S89)=1,2,1)</f>
        <v>0</v>
      </c>
      <c r="AO89" s="10">
        <f>+IF(T89=$B89,Pesos!$L$3,0)*IF(COUNTIF($C89:$W89,T89)=1,2,1)</f>
        <v>0</v>
      </c>
      <c r="AP89" s="10">
        <f>+IF(U89=$B89,Pesos!$L$3,0)*IF(COUNTIF($C89:$W89,U89)=1,2,1)</f>
        <v>0</v>
      </c>
      <c r="AQ89" s="10">
        <f>+IF(V89=$B89,Pesos!$L$3,0)*IF(COUNTIF($C89:$W89,V89)=1,2,1)</f>
        <v>0</v>
      </c>
      <c r="AR89" s="10">
        <f>+IF(W89=$B89,Pesos!$L$3,0)*IF(COUNTIF($C89:$W89,W89)=1,2,1)</f>
        <v>0</v>
      </c>
    </row>
    <row r="90" ht="12.75" customHeight="1">
      <c r="A90" s="1" t="str">
        <f>'1a FASE'!A91</f>
        <v>Machtday 5</v>
      </c>
      <c r="B90" s="8" t="str">
        <f>'1a FASE'!B91</f>
        <v>Paris Saint-Germain</v>
      </c>
      <c r="C90" s="11" t="str">
        <f>'1a FASE'!C91</f>
        <v>Paris Saint-Germain</v>
      </c>
      <c r="D90" s="11" t="str">
        <f>'1a FASE'!D91</f>
        <v>Paris Saint-Germain</v>
      </c>
      <c r="E90" s="11" t="str">
        <f>'1a FASE'!E91</f>
        <v>Paris Saint-Germain</v>
      </c>
      <c r="F90" s="11" t="str">
        <f>'1a FASE'!F91</f>
        <v>Empate</v>
      </c>
      <c r="G90" s="11" t="str">
        <f>'1a FASE'!G91</f>
        <v>Paris Saint-Germain</v>
      </c>
      <c r="H90" s="11" t="str">
        <f>'1a FASE'!H91</f>
        <v>Paris Saint-Germain</v>
      </c>
      <c r="I90" s="11" t="str">
        <f>'1a FASE'!I91</f>
        <v>Paris Saint-Germain</v>
      </c>
      <c r="J90" s="11" t="str">
        <f>'1a FASE'!J91</f>
        <v>Paris Saint-Germain</v>
      </c>
      <c r="K90" s="11" t="str">
        <f>'1a FASE'!K91</f>
        <v>Paris Saint-Germain</v>
      </c>
      <c r="L90" s="11" t="str">
        <f>'1a FASE'!L91</f>
        <v>Paris Saint-Germain</v>
      </c>
      <c r="M90" s="11" t="str">
        <f>'1a FASE'!M91</f>
        <v>Paris Saint-Germain</v>
      </c>
      <c r="N90" s="11" t="str">
        <f>'1a FASE'!N91</f>
        <v>Paris Saint-Germain</v>
      </c>
      <c r="O90" s="11" t="str">
        <f>'1a FASE'!O91</f>
        <v>Paris Saint-Germain</v>
      </c>
      <c r="P90" s="11" t="str">
        <f>'1a FASE'!P91</f>
        <v>Paris Saint-Germain</v>
      </c>
      <c r="Q90" s="11" t="str">
        <f>'1a FASE'!Q91</f>
        <v>Paris Saint-Germain</v>
      </c>
      <c r="R90" s="11" t="str">
        <f>'1a FASE'!R91</f>
        <v>Paris Saint-Germain</v>
      </c>
      <c r="S90" s="11" t="str">
        <f>'1a FASE'!S91</f>
        <v>Paris Saint-Germain</v>
      </c>
      <c r="T90" s="11" t="str">
        <f>'1a FASE'!T91</f>
        <v>Paris Saint-Germain</v>
      </c>
      <c r="U90" s="11" t="str">
        <f>'1a FASE'!U91</f>
        <v>Paris Saint-Germain</v>
      </c>
      <c r="V90" s="11" t="str">
        <f>'1a FASE'!V91</f>
        <v>Paris Saint-Germain</v>
      </c>
      <c r="W90" s="11" t="str">
        <f>'1a FASE'!W91</f>
        <v>Paris Saint-Germain</v>
      </c>
      <c r="X90" s="11">
        <f>+IF(C90=$B90,Pesos!$L$3,0)*IF(COUNTIF($C90:$W90,C90)=1,2,1)</f>
        <v>0.85</v>
      </c>
      <c r="Y90" s="11">
        <f>+IF(D90=$B90,Pesos!$L$3,0)*IF(COUNTIF($C90:$W90,D90)=1,2,1)</f>
        <v>0.85</v>
      </c>
      <c r="Z90" s="11">
        <f>+IF(E90=$B90,Pesos!$L$3,0)*IF(COUNTIF($C90:$W90,E90)=1,2,1)</f>
        <v>0.85</v>
      </c>
      <c r="AA90" s="11">
        <f>+IF(F90=$B90,Pesos!$L$3,0)*IF(COUNTIF($C90:$W90,F90)=1,2,1)</f>
        <v>0</v>
      </c>
      <c r="AB90" s="11">
        <f>+IF(G90=$B90,Pesos!$L$3,0)*IF(COUNTIF($C90:$W90,G90)=1,2,1)</f>
        <v>0.85</v>
      </c>
      <c r="AC90" s="11">
        <f>+IF(H90=$B90,Pesos!$L$3,0)*IF(COUNTIF($C90:$W90,H90)=1,2,1)</f>
        <v>0.85</v>
      </c>
      <c r="AD90" s="11">
        <f>+IF(I90=$B90,Pesos!$L$3,0)*IF(COUNTIF($C90:$W90,I90)=1,2,1)</f>
        <v>0.85</v>
      </c>
      <c r="AE90" s="11">
        <f>+IF(J90=$B90,Pesos!$L$3,0)*IF(COUNTIF($C90:$W90,J90)=1,2,1)</f>
        <v>0.85</v>
      </c>
      <c r="AF90" s="11">
        <f>+IF(K90=$B90,Pesos!$L$3,0)*IF(COUNTIF($C90:$W90,K90)=1,2,1)</f>
        <v>0.85</v>
      </c>
      <c r="AG90" s="11">
        <f>+IF(L90=$B90,Pesos!$L$3,0)*IF(COUNTIF($C90:$W90,L90)=1,2,1)</f>
        <v>0.85</v>
      </c>
      <c r="AH90" s="11">
        <f>+IF(M90=$B90,Pesos!$L$3,0)*IF(COUNTIF($C90:$W90,M90)=1,2,1)</f>
        <v>0.85</v>
      </c>
      <c r="AI90" s="11">
        <f>+IF(N90=$B90,Pesos!$L$3,0)*IF(COUNTIF($C90:$W90,N90)=1,2,1)</f>
        <v>0.85</v>
      </c>
      <c r="AJ90" s="11">
        <f>+IF(O90=$B90,Pesos!$L$3,0)*IF(COUNTIF($C90:$W90,O90)=1,2,1)</f>
        <v>0.85</v>
      </c>
      <c r="AK90" s="11">
        <f>+IF(P90=$B90,Pesos!$L$3,0)*IF(COUNTIF($C90:$W90,P90)=1,2,1)</f>
        <v>0.85</v>
      </c>
      <c r="AL90" s="11">
        <f>+IF(Q90=$B90,Pesos!$L$3,0)*IF(COUNTIF($C90:$W90,Q90)=1,2,1)</f>
        <v>0.85</v>
      </c>
      <c r="AM90" s="11">
        <f>+IF(R90=$B90,Pesos!$L$3,0)*IF(COUNTIF($C90:$W90,R90)=1,2,1)</f>
        <v>0.85</v>
      </c>
      <c r="AN90" s="11">
        <f>+IF(S90=$B90,Pesos!$L$3,0)*IF(COUNTIF($C90:$W90,S90)=1,2,1)</f>
        <v>0.85</v>
      </c>
      <c r="AO90" s="11">
        <f>+IF(T90=$B90,Pesos!$L$3,0)*IF(COUNTIF($C90:$W90,T90)=1,2,1)</f>
        <v>0.85</v>
      </c>
      <c r="AP90" s="11">
        <f>+IF(U90=$B90,Pesos!$L$3,0)*IF(COUNTIF($C90:$W90,U90)=1,2,1)</f>
        <v>0.85</v>
      </c>
      <c r="AQ90" s="11">
        <f>+IF(V90=$B90,Pesos!$L$3,0)*IF(COUNTIF($C90:$W90,V90)=1,2,1)</f>
        <v>0.85</v>
      </c>
      <c r="AR90" s="11">
        <f>+IF(W90=$B90,Pesos!$L$3,0)*IF(COUNTIF($C90:$W90,W90)=1,2,1)</f>
        <v>0.85</v>
      </c>
    </row>
    <row r="91" ht="12.75" customHeight="1">
      <c r="A91" s="1" t="str">
        <f>'1a FASE'!A92</f>
        <v>Machtday 5</v>
      </c>
      <c r="B91" s="8" t="str">
        <f>'1a FASE'!B92</f>
        <v>PSV Eindhoven</v>
      </c>
      <c r="C91" s="10" t="str">
        <f>'1a FASE'!C92</f>
        <v>Liverpool</v>
      </c>
      <c r="D91" s="10" t="str">
        <f>'1a FASE'!D92</f>
        <v>Liverpool</v>
      </c>
      <c r="E91" s="10" t="str">
        <f>'1a FASE'!E92</f>
        <v>Liverpool</v>
      </c>
      <c r="F91" s="10" t="str">
        <f>'1a FASE'!F92</f>
        <v>Liverpool</v>
      </c>
      <c r="G91" s="10" t="str">
        <f>'1a FASE'!G92</f>
        <v>Liverpool</v>
      </c>
      <c r="H91" s="10" t="str">
        <f>'1a FASE'!H92</f>
        <v>Liverpool</v>
      </c>
      <c r="I91" s="10" t="str">
        <f>'1a FASE'!I92</f>
        <v>Liverpool</v>
      </c>
      <c r="J91" s="10" t="str">
        <f>'1a FASE'!J92</f>
        <v>Liverpool</v>
      </c>
      <c r="K91" s="10" t="str">
        <f>'1a FASE'!K92</f>
        <v>Liverpool</v>
      </c>
      <c r="L91" s="10" t="str">
        <f>'1a FASE'!L92</f>
        <v>Liverpool</v>
      </c>
      <c r="M91" s="10" t="str">
        <f>'1a FASE'!M92</f>
        <v>Liverpool</v>
      </c>
      <c r="N91" s="10" t="str">
        <f>'1a FASE'!N92</f>
        <v>Liverpool</v>
      </c>
      <c r="O91" s="10" t="str">
        <f>'1a FASE'!O92</f>
        <v>Liverpool</v>
      </c>
      <c r="P91" s="10" t="str">
        <f>'1a FASE'!P92</f>
        <v>Liverpool</v>
      </c>
      <c r="Q91" s="10" t="str">
        <f>'1a FASE'!Q92</f>
        <v>Liverpool</v>
      </c>
      <c r="R91" s="10" t="str">
        <f>'1a FASE'!R92</f>
        <v>Liverpool</v>
      </c>
      <c r="S91" s="10" t="str">
        <f>'1a FASE'!S92</f>
        <v>Liverpool</v>
      </c>
      <c r="T91" s="10" t="str">
        <f>'1a FASE'!T92</f>
        <v>Liverpool</v>
      </c>
      <c r="U91" s="10" t="str">
        <f>'1a FASE'!U92</f>
        <v>Liverpool</v>
      </c>
      <c r="V91" s="10" t="str">
        <f>'1a FASE'!V92</f>
        <v>Liverpool</v>
      </c>
      <c r="W91" s="10" t="str">
        <f>'1a FASE'!W92</f>
        <v>Liverpool</v>
      </c>
      <c r="X91" s="10">
        <f>+IF(C91=$B91,Pesos!$L$3,0)*IF(COUNTIF($C91:$W91,C91)=1,2,1)</f>
        <v>0</v>
      </c>
      <c r="Y91" s="10">
        <f>+IF(D91=$B91,Pesos!$L$3,0)*IF(COUNTIF($C91:$W91,D91)=1,2,1)</f>
        <v>0</v>
      </c>
      <c r="Z91" s="10">
        <f>+IF(E91=$B91,Pesos!$L$3,0)*IF(COUNTIF($C91:$W91,E91)=1,2,1)</f>
        <v>0</v>
      </c>
      <c r="AA91" s="10">
        <f>+IF(F91=$B91,Pesos!$L$3,0)*IF(COUNTIF($C91:$W91,F91)=1,2,1)</f>
        <v>0</v>
      </c>
      <c r="AB91" s="10">
        <f>+IF(G91=$B91,Pesos!$L$3,0)*IF(COUNTIF($C91:$W91,G91)=1,2,1)</f>
        <v>0</v>
      </c>
      <c r="AC91" s="10">
        <f>+IF(H91=$B91,Pesos!$L$3,0)*IF(COUNTIF($C91:$W91,H91)=1,2,1)</f>
        <v>0</v>
      </c>
      <c r="AD91" s="10">
        <f>+IF(I91=$B91,Pesos!$L$3,0)*IF(COUNTIF($C91:$W91,I91)=1,2,1)</f>
        <v>0</v>
      </c>
      <c r="AE91" s="10">
        <f>+IF(J91=$B91,Pesos!$L$3,0)*IF(COUNTIF($C91:$W91,J91)=1,2,1)</f>
        <v>0</v>
      </c>
      <c r="AF91" s="10">
        <f>+IF(K91=$B91,Pesos!$L$3,0)*IF(COUNTIF($C91:$W91,K91)=1,2,1)</f>
        <v>0</v>
      </c>
      <c r="AG91" s="10">
        <f>+IF(L91=$B91,Pesos!$L$3,0)*IF(COUNTIF($C91:$W91,L91)=1,2,1)</f>
        <v>0</v>
      </c>
      <c r="AH91" s="10">
        <f>+IF(M91=$B91,Pesos!$L$3,0)*IF(COUNTIF($C91:$W91,M91)=1,2,1)</f>
        <v>0</v>
      </c>
      <c r="AI91" s="10">
        <f>+IF(N91=$B91,Pesos!$L$3,0)*IF(COUNTIF($C91:$W91,N91)=1,2,1)</f>
        <v>0</v>
      </c>
      <c r="AJ91" s="10">
        <f>+IF(O91=$B91,Pesos!$L$3,0)*IF(COUNTIF($C91:$W91,O91)=1,2,1)</f>
        <v>0</v>
      </c>
      <c r="AK91" s="10">
        <f>+IF(P91=$B91,Pesos!$L$3,0)*IF(COUNTIF($C91:$W91,P91)=1,2,1)</f>
        <v>0</v>
      </c>
      <c r="AL91" s="10">
        <f>+IF(Q91=$B91,Pesos!$L$3,0)*IF(COUNTIF($C91:$W91,Q91)=1,2,1)</f>
        <v>0</v>
      </c>
      <c r="AM91" s="10">
        <f>+IF(R91=$B91,Pesos!$L$3,0)*IF(COUNTIF($C91:$W91,R91)=1,2,1)</f>
        <v>0</v>
      </c>
      <c r="AN91" s="10">
        <f>+IF(S91=$B91,Pesos!$L$3,0)*IF(COUNTIF($C91:$W91,S91)=1,2,1)</f>
        <v>0</v>
      </c>
      <c r="AO91" s="10">
        <f>+IF(T91=$B91,Pesos!$L$3,0)*IF(COUNTIF($C91:$W91,T91)=1,2,1)</f>
        <v>0</v>
      </c>
      <c r="AP91" s="10">
        <f>+IF(U91=$B91,Pesos!$L$3,0)*IF(COUNTIF($C91:$W91,U91)=1,2,1)</f>
        <v>0</v>
      </c>
      <c r="AQ91" s="10">
        <f>+IF(V91=$B91,Pesos!$L$3,0)*IF(COUNTIF($C91:$W91,V91)=1,2,1)</f>
        <v>0</v>
      </c>
      <c r="AR91" s="10">
        <f>+IF(W91=$B91,Pesos!$L$3,0)*IF(COUNTIF($C91:$W91,W91)=1,2,1)</f>
        <v>0</v>
      </c>
    </row>
    <row r="92" ht="12.75" customHeight="1">
      <c r="A92" s="1" t="str">
        <f>'1a FASE'!A93</f>
        <v>Machtday 5</v>
      </c>
      <c r="B92" s="8" t="str">
        <f>'1a FASE'!B93</f>
        <v>Arsenal</v>
      </c>
      <c r="C92" s="11" t="str">
        <f>'1a FASE'!C93</f>
        <v>Arsenal</v>
      </c>
      <c r="D92" s="11" t="str">
        <f>'1a FASE'!D93</f>
        <v>Arsenal</v>
      </c>
      <c r="E92" s="11" t="str">
        <f>'1a FASE'!E93</f>
        <v>Arsenal</v>
      </c>
      <c r="F92" s="11" t="str">
        <f>'1a FASE'!F93</f>
        <v>Bayern de Munique</v>
      </c>
      <c r="G92" s="11" t="str">
        <f>'1a FASE'!G93</f>
        <v>Arsenal</v>
      </c>
      <c r="H92" s="11" t="str">
        <f>'1a FASE'!H93</f>
        <v>Arsenal</v>
      </c>
      <c r="I92" s="11" t="str">
        <f>'1a FASE'!I93</f>
        <v>Bayern de Munique</v>
      </c>
      <c r="J92" s="11" t="str">
        <f>'1a FASE'!J93</f>
        <v>Empate</v>
      </c>
      <c r="K92" s="11" t="str">
        <f>'1a FASE'!K93</f>
        <v>Arsenal</v>
      </c>
      <c r="L92" s="11" t="str">
        <f>'1a FASE'!L93</f>
        <v>Arsenal</v>
      </c>
      <c r="M92" s="11" t="str">
        <f>'1a FASE'!M93</f>
        <v>Empate</v>
      </c>
      <c r="N92" s="11" t="str">
        <f>'1a FASE'!N93</f>
        <v>Empate</v>
      </c>
      <c r="O92" s="11" t="str">
        <f>'1a FASE'!O93</f>
        <v>Empate</v>
      </c>
      <c r="P92" s="11" t="str">
        <f>'1a FASE'!P93</f>
        <v>Empate</v>
      </c>
      <c r="Q92" s="11" t="str">
        <f>'1a FASE'!Q93</f>
        <v>Arsenal</v>
      </c>
      <c r="R92" s="11" t="str">
        <f>'1a FASE'!R93</f>
        <v>Arsenal</v>
      </c>
      <c r="S92" s="11" t="str">
        <f>'1a FASE'!S93</f>
        <v>Empate</v>
      </c>
      <c r="T92" s="11" t="str">
        <f>'1a FASE'!T93</f>
        <v>Empate</v>
      </c>
      <c r="U92" s="11" t="str">
        <f>'1a FASE'!U93</f>
        <v>Bayern de Munique</v>
      </c>
      <c r="V92" s="11" t="str">
        <f>'1a FASE'!V93</f>
        <v>Bayern de Munique</v>
      </c>
      <c r="W92" s="11" t="str">
        <f>'1a FASE'!W93</f>
        <v>Empate</v>
      </c>
      <c r="X92" s="11">
        <f>+IF(C92=$B92,Pesos!$L$3,0)*IF(COUNTIF($C92:$W92,C92)=1,2,1)</f>
        <v>0.85</v>
      </c>
      <c r="Y92" s="11">
        <f>+IF(D92=$B92,Pesos!$L$3,0)*IF(COUNTIF($C92:$W92,D92)=1,2,1)</f>
        <v>0.85</v>
      </c>
      <c r="Z92" s="11">
        <f>+IF(E92=$B92,Pesos!$L$3,0)*IF(COUNTIF($C92:$W92,E92)=1,2,1)</f>
        <v>0.85</v>
      </c>
      <c r="AA92" s="11">
        <f>+IF(F92=$B92,Pesos!$L$3,0)*IF(COUNTIF($C92:$W92,F92)=1,2,1)</f>
        <v>0</v>
      </c>
      <c r="AB92" s="11">
        <f>+IF(G92=$B92,Pesos!$L$3,0)*IF(COUNTIF($C92:$W92,G92)=1,2,1)</f>
        <v>0.85</v>
      </c>
      <c r="AC92" s="11">
        <f>+IF(H92=$B92,Pesos!$L$3,0)*IF(COUNTIF($C92:$W92,H92)=1,2,1)</f>
        <v>0.85</v>
      </c>
      <c r="AD92" s="11">
        <f>+IF(I92=$B92,Pesos!$L$3,0)*IF(COUNTIF($C92:$W92,I92)=1,2,1)</f>
        <v>0</v>
      </c>
      <c r="AE92" s="11">
        <f>+IF(J92=$B92,Pesos!$L$3,0)*IF(COUNTIF($C92:$W92,J92)=1,2,1)</f>
        <v>0</v>
      </c>
      <c r="AF92" s="11">
        <f>+IF(K92=$B92,Pesos!$L$3,0)*IF(COUNTIF($C92:$W92,K92)=1,2,1)</f>
        <v>0.85</v>
      </c>
      <c r="AG92" s="11">
        <f>+IF(L92=$B92,Pesos!$L$3,0)*IF(COUNTIF($C92:$W92,L92)=1,2,1)</f>
        <v>0.85</v>
      </c>
      <c r="AH92" s="11">
        <f>+IF(M92=$B92,Pesos!$L$3,0)*IF(COUNTIF($C92:$W92,M92)=1,2,1)</f>
        <v>0</v>
      </c>
      <c r="AI92" s="11">
        <f>+IF(N92=$B92,Pesos!$L$3,0)*IF(COUNTIF($C92:$W92,N92)=1,2,1)</f>
        <v>0</v>
      </c>
      <c r="AJ92" s="11">
        <f>+IF(O92=$B92,Pesos!$L$3,0)*IF(COUNTIF($C92:$W92,O92)=1,2,1)</f>
        <v>0</v>
      </c>
      <c r="AK92" s="11">
        <f>+IF(P92=$B92,Pesos!$L$3,0)*IF(COUNTIF($C92:$W92,P92)=1,2,1)</f>
        <v>0</v>
      </c>
      <c r="AL92" s="11">
        <f>+IF(Q92=$B92,Pesos!$L$3,0)*IF(COUNTIF($C92:$W92,Q92)=1,2,1)</f>
        <v>0.85</v>
      </c>
      <c r="AM92" s="11">
        <f>+IF(R92=$B92,Pesos!$L$3,0)*IF(COUNTIF($C92:$W92,R92)=1,2,1)</f>
        <v>0.85</v>
      </c>
      <c r="AN92" s="11">
        <f>+IF(S92=$B92,Pesos!$L$3,0)*IF(COUNTIF($C92:$W92,S92)=1,2,1)</f>
        <v>0</v>
      </c>
      <c r="AO92" s="11">
        <f>+IF(T92=$B92,Pesos!$L$3,0)*IF(COUNTIF($C92:$W92,T92)=1,2,1)</f>
        <v>0</v>
      </c>
      <c r="AP92" s="11">
        <f>+IF(U92=$B92,Pesos!$L$3,0)*IF(COUNTIF($C92:$W92,U92)=1,2,1)</f>
        <v>0</v>
      </c>
      <c r="AQ92" s="11">
        <f>+IF(V92=$B92,Pesos!$L$3,0)*IF(COUNTIF($C92:$W92,V92)=1,2,1)</f>
        <v>0</v>
      </c>
      <c r="AR92" s="11">
        <f>+IF(W92=$B92,Pesos!$L$3,0)*IF(COUNTIF($C92:$W92,W92)=1,2,1)</f>
        <v>0</v>
      </c>
    </row>
    <row r="93" ht="12.75" customHeight="1">
      <c r="A93" s="1" t="str">
        <f>'1a FASE'!A94</f>
        <v>Machtday 5</v>
      </c>
      <c r="B93" s="8" t="str">
        <f>'1a FASE'!B94</f>
        <v>Atlético de Madrid</v>
      </c>
      <c r="C93" s="10" t="str">
        <f>'1a FASE'!C94</f>
        <v>Internazionale</v>
      </c>
      <c r="D93" s="10" t="str">
        <f>'1a FASE'!D94</f>
        <v>Atlético de Madrid</v>
      </c>
      <c r="E93" s="10" t="str">
        <f>'1a FASE'!E94</f>
        <v>Empate</v>
      </c>
      <c r="F93" s="10" t="str">
        <f>'1a FASE'!F94</f>
        <v>Atlético de Madrid</v>
      </c>
      <c r="G93" s="10" t="str">
        <f>'1a FASE'!G94</f>
        <v>Atlético de Madrid</v>
      </c>
      <c r="H93" s="10" t="str">
        <f>'1a FASE'!H94</f>
        <v>Atlético de Madrid</v>
      </c>
      <c r="I93" s="10" t="str">
        <f>'1a FASE'!I94</f>
        <v>Atlético de Madrid</v>
      </c>
      <c r="J93" s="10" t="str">
        <f>'1a FASE'!J94</f>
        <v>Empate</v>
      </c>
      <c r="K93" s="10" t="str">
        <f>'1a FASE'!K94</f>
        <v>Atlético de Madrid</v>
      </c>
      <c r="L93" s="10" t="str">
        <f>'1a FASE'!L94</f>
        <v>Atlético de Madrid</v>
      </c>
      <c r="M93" s="10" t="str">
        <f>'1a FASE'!M94</f>
        <v>Empate</v>
      </c>
      <c r="N93" s="10" t="str">
        <f>'1a FASE'!N94</f>
        <v>Empate</v>
      </c>
      <c r="O93" s="10" t="str">
        <f>'1a FASE'!O94</f>
        <v>Internazionale</v>
      </c>
      <c r="P93" s="10" t="str">
        <f>'1a FASE'!P94</f>
        <v>Empate</v>
      </c>
      <c r="Q93" s="10" t="str">
        <f>'1a FASE'!Q94</f>
        <v>Empate</v>
      </c>
      <c r="R93" s="10" t="str">
        <f>'1a FASE'!R94</f>
        <v>Internazionale</v>
      </c>
      <c r="S93" s="10" t="str">
        <f>'1a FASE'!S94</f>
        <v>Atlético de Madrid</v>
      </c>
      <c r="T93" s="10" t="str">
        <f>'1a FASE'!T94</f>
        <v>Atlético de Madrid</v>
      </c>
      <c r="U93" s="10" t="str">
        <f>'1a FASE'!U94</f>
        <v>Empate</v>
      </c>
      <c r="V93" s="10" t="str">
        <f>'1a FASE'!V94</f>
        <v>Atlético de Madrid</v>
      </c>
      <c r="W93" s="10" t="str">
        <f>'1a FASE'!W94</f>
        <v>Empate</v>
      </c>
      <c r="X93" s="10">
        <f>+IF(C93=$B93,Pesos!$L$3,0)*IF(COUNTIF($C93:$W93,C93)=1,2,1)</f>
        <v>0</v>
      </c>
      <c r="Y93" s="10">
        <f>+IF(D93=$B93,Pesos!$L$3,0)*IF(COUNTIF($C93:$W93,D93)=1,2,1)</f>
        <v>0.85</v>
      </c>
      <c r="Z93" s="10">
        <f>+IF(E93=$B93,Pesos!$L$3,0)*IF(COUNTIF($C93:$W93,E93)=1,2,1)</f>
        <v>0</v>
      </c>
      <c r="AA93" s="10">
        <f>+IF(F93=$B93,Pesos!$L$3,0)*IF(COUNTIF($C93:$W93,F93)=1,2,1)</f>
        <v>0.85</v>
      </c>
      <c r="AB93" s="10">
        <f>+IF(G93=$B93,Pesos!$L$3,0)*IF(COUNTIF($C93:$W93,G93)=1,2,1)</f>
        <v>0.85</v>
      </c>
      <c r="AC93" s="10">
        <f>+IF(H93=$B93,Pesos!$L$3,0)*IF(COUNTIF($C93:$W93,H93)=1,2,1)</f>
        <v>0.85</v>
      </c>
      <c r="AD93" s="10">
        <f>+IF(I93=$B93,Pesos!$L$3,0)*IF(COUNTIF($C93:$W93,I93)=1,2,1)</f>
        <v>0.85</v>
      </c>
      <c r="AE93" s="10">
        <f>+IF(J93=$B93,Pesos!$L$3,0)*IF(COUNTIF($C93:$W93,J93)=1,2,1)</f>
        <v>0</v>
      </c>
      <c r="AF93" s="10">
        <f>+IF(K93=$B93,Pesos!$L$3,0)*IF(COUNTIF($C93:$W93,K93)=1,2,1)</f>
        <v>0.85</v>
      </c>
      <c r="AG93" s="10">
        <f>+IF(L93=$B93,Pesos!$L$3,0)*IF(COUNTIF($C93:$W93,L93)=1,2,1)</f>
        <v>0.85</v>
      </c>
      <c r="AH93" s="10">
        <f>+IF(M93=$B93,Pesos!$L$3,0)*IF(COUNTIF($C93:$W93,M93)=1,2,1)</f>
        <v>0</v>
      </c>
      <c r="AI93" s="10">
        <f>+IF(N93=$B93,Pesos!$L$3,0)*IF(COUNTIF($C93:$W93,N93)=1,2,1)</f>
        <v>0</v>
      </c>
      <c r="AJ93" s="10">
        <f>+IF(O93=$B93,Pesos!$L$3,0)*IF(COUNTIF($C93:$W93,O93)=1,2,1)</f>
        <v>0</v>
      </c>
      <c r="AK93" s="10">
        <f>+IF(P93=$B93,Pesos!$L$3,0)*IF(COUNTIF($C93:$W93,P93)=1,2,1)</f>
        <v>0</v>
      </c>
      <c r="AL93" s="10">
        <f>+IF(Q93=$B93,Pesos!$L$3,0)*IF(COUNTIF($C93:$W93,Q93)=1,2,1)</f>
        <v>0</v>
      </c>
      <c r="AM93" s="10">
        <f>+IF(R93=$B93,Pesos!$L$3,0)*IF(COUNTIF($C93:$W93,R93)=1,2,1)</f>
        <v>0</v>
      </c>
      <c r="AN93" s="10">
        <f>+IF(S93=$B93,Pesos!$L$3,0)*IF(COUNTIF($C93:$W93,S93)=1,2,1)</f>
        <v>0.85</v>
      </c>
      <c r="AO93" s="10">
        <f>+IF(T93=$B93,Pesos!$L$3,0)*IF(COUNTIF($C93:$W93,T93)=1,2,1)</f>
        <v>0.85</v>
      </c>
      <c r="AP93" s="10">
        <f>+IF(U93=$B93,Pesos!$L$3,0)*IF(COUNTIF($C93:$W93,U93)=1,2,1)</f>
        <v>0</v>
      </c>
      <c r="AQ93" s="10">
        <f>+IF(V93=$B93,Pesos!$L$3,0)*IF(COUNTIF($C93:$W93,V93)=1,2,1)</f>
        <v>0.85</v>
      </c>
      <c r="AR93" s="10">
        <f>+IF(W93=$B93,Pesos!$L$3,0)*IF(COUNTIF($C93:$W93,W93)=1,2,1)</f>
        <v>0</v>
      </c>
    </row>
    <row r="94" ht="12.75" customHeight="1">
      <c r="A94" s="1" t="str">
        <f>'1a FASE'!A95</f>
        <v>Machtday 5</v>
      </c>
      <c r="B94" s="8" t="str">
        <f>'1a FASE'!B95</f>
        <v>Atalanta</v>
      </c>
      <c r="C94" s="11" t="str">
        <f>'1a FASE'!C95</f>
        <v>Empate</v>
      </c>
      <c r="D94" s="11" t="str">
        <f>'1a FASE'!D95</f>
        <v>Empate</v>
      </c>
      <c r="E94" s="11" t="str">
        <f>'1a FASE'!E95</f>
        <v>Eintracht Frankfurt</v>
      </c>
      <c r="F94" s="11" t="str">
        <f>'1a FASE'!F95</f>
        <v>Atalanta</v>
      </c>
      <c r="G94" s="11" t="str">
        <f>'1a FASE'!G95</f>
        <v>Atalanta</v>
      </c>
      <c r="H94" s="11" t="str">
        <f>'1a FASE'!H95</f>
        <v>Eintracht Frankfurt</v>
      </c>
      <c r="I94" s="11" t="str">
        <f>'1a FASE'!I95</f>
        <v>Atalanta</v>
      </c>
      <c r="J94" s="11" t="str">
        <f>'1a FASE'!J95</f>
        <v>Eintracht Frankfurt</v>
      </c>
      <c r="K94" s="11" t="str">
        <f>'1a FASE'!K95</f>
        <v>Atalanta</v>
      </c>
      <c r="L94" s="11" t="str">
        <f>'1a FASE'!L95</f>
        <v>Eintracht Frankfurt</v>
      </c>
      <c r="M94" s="11" t="str">
        <f>'1a FASE'!M95</f>
        <v>Empate</v>
      </c>
      <c r="N94" s="11" t="str">
        <f>'1a FASE'!N95</f>
        <v>Eintracht Frankfurt</v>
      </c>
      <c r="O94" s="11" t="str">
        <f>'1a FASE'!O95</f>
        <v>Atalanta</v>
      </c>
      <c r="P94" s="11" t="str">
        <f>'1a FASE'!P95</f>
        <v>Empate</v>
      </c>
      <c r="Q94" s="11" t="str">
        <f>'1a FASE'!Q95</f>
        <v>Eintracht Frankfurt</v>
      </c>
      <c r="R94" s="11" t="str">
        <f>'1a FASE'!R95</f>
        <v>Atalanta</v>
      </c>
      <c r="S94" s="11" t="str">
        <f>'1a FASE'!S95</f>
        <v>Atalanta</v>
      </c>
      <c r="T94" s="11" t="str">
        <f>'1a FASE'!T95</f>
        <v>Eintracht Frankfurt</v>
      </c>
      <c r="U94" s="11" t="str">
        <f>'1a FASE'!U95</f>
        <v>Atalanta</v>
      </c>
      <c r="V94" s="11" t="str">
        <f>'1a FASE'!V95</f>
        <v>Atalanta</v>
      </c>
      <c r="W94" s="11" t="str">
        <f>'1a FASE'!W95</f>
        <v>Eintracht Frankfurt</v>
      </c>
      <c r="X94" s="11">
        <f>+IF(C94=$B94,Pesos!$L$3,0)*IF(COUNTIF($C94:$W94,C94)=1,2,1)</f>
        <v>0</v>
      </c>
      <c r="Y94" s="11">
        <f>+IF(D94=$B94,Pesos!$L$3,0)*IF(COUNTIF($C94:$W94,D94)=1,2,1)</f>
        <v>0</v>
      </c>
      <c r="Z94" s="11">
        <f>+IF(E94=$B94,Pesos!$L$3,0)*IF(COUNTIF($C94:$W94,E94)=1,2,1)</f>
        <v>0</v>
      </c>
      <c r="AA94" s="11">
        <f>+IF(F94=$B94,Pesos!$L$3,0)*IF(COUNTIF($C94:$W94,F94)=1,2,1)</f>
        <v>0.85</v>
      </c>
      <c r="AB94" s="11">
        <f>+IF(G94=$B94,Pesos!$L$3,0)*IF(COUNTIF($C94:$W94,G94)=1,2,1)</f>
        <v>0.85</v>
      </c>
      <c r="AC94" s="11">
        <f>+IF(H94=$B94,Pesos!$L$3,0)*IF(COUNTIF($C94:$W94,H94)=1,2,1)</f>
        <v>0</v>
      </c>
      <c r="AD94" s="11">
        <f>+IF(I94=$B94,Pesos!$L$3,0)*IF(COUNTIF($C94:$W94,I94)=1,2,1)</f>
        <v>0.85</v>
      </c>
      <c r="AE94" s="11">
        <f>+IF(J94=$B94,Pesos!$L$3,0)*IF(COUNTIF($C94:$W94,J94)=1,2,1)</f>
        <v>0</v>
      </c>
      <c r="AF94" s="11">
        <f>+IF(K94=$B94,Pesos!$L$3,0)*IF(COUNTIF($C94:$W94,K94)=1,2,1)</f>
        <v>0.85</v>
      </c>
      <c r="AG94" s="11">
        <f>+IF(L94=$B94,Pesos!$L$3,0)*IF(COUNTIF($C94:$W94,L94)=1,2,1)</f>
        <v>0</v>
      </c>
      <c r="AH94" s="11">
        <f>+IF(M94=$B94,Pesos!$L$3,0)*IF(COUNTIF($C94:$W94,M94)=1,2,1)</f>
        <v>0</v>
      </c>
      <c r="AI94" s="11">
        <f>+IF(N94=$B94,Pesos!$L$3,0)*IF(COUNTIF($C94:$W94,N94)=1,2,1)</f>
        <v>0</v>
      </c>
      <c r="AJ94" s="11">
        <f>+IF(O94=$B94,Pesos!$L$3,0)*IF(COUNTIF($C94:$W94,O94)=1,2,1)</f>
        <v>0.85</v>
      </c>
      <c r="AK94" s="11">
        <f>+IF(P94=$B94,Pesos!$L$3,0)*IF(COUNTIF($C94:$W94,P94)=1,2,1)</f>
        <v>0</v>
      </c>
      <c r="AL94" s="11">
        <f>+IF(Q94=$B94,Pesos!$L$3,0)*IF(COUNTIF($C94:$W94,Q94)=1,2,1)</f>
        <v>0</v>
      </c>
      <c r="AM94" s="11">
        <f>+IF(R94=$B94,Pesos!$L$3,0)*IF(COUNTIF($C94:$W94,R94)=1,2,1)</f>
        <v>0.85</v>
      </c>
      <c r="AN94" s="11">
        <f>+IF(S94=$B94,Pesos!$L$3,0)*IF(COUNTIF($C94:$W94,S94)=1,2,1)</f>
        <v>0.85</v>
      </c>
      <c r="AO94" s="11">
        <f>+IF(T94=$B94,Pesos!$L$3,0)*IF(COUNTIF($C94:$W94,T94)=1,2,1)</f>
        <v>0</v>
      </c>
      <c r="AP94" s="11">
        <f>+IF(U94=$B94,Pesos!$L$3,0)*IF(COUNTIF($C94:$W94,U94)=1,2,1)</f>
        <v>0.85</v>
      </c>
      <c r="AQ94" s="11">
        <f>+IF(V94=$B94,Pesos!$L$3,0)*IF(COUNTIF($C94:$W94,V94)=1,2,1)</f>
        <v>0.85</v>
      </c>
      <c r="AR94" s="11">
        <f>+IF(W94=$B94,Pesos!$L$3,0)*IF(COUNTIF($C94:$W94,W94)=1,2,1)</f>
        <v>0</v>
      </c>
    </row>
    <row r="95" ht="12.75" customHeight="1">
      <c r="A95" s="1" t="str">
        <f>'1a FASE'!A96</f>
        <v>Machtday 5</v>
      </c>
      <c r="B95" s="8" t="str">
        <f>'1a FASE'!B96</f>
        <v>Sporting</v>
      </c>
      <c r="C95" s="10" t="str">
        <f>'1a FASE'!C96</f>
        <v>Sporting</v>
      </c>
      <c r="D95" s="10" t="str">
        <f>'1a FASE'!D96</f>
        <v>Sporting</v>
      </c>
      <c r="E95" s="10" t="str">
        <f>'1a FASE'!E96</f>
        <v>Sporting</v>
      </c>
      <c r="F95" s="10" t="str">
        <f>'1a FASE'!F96</f>
        <v>Sporting</v>
      </c>
      <c r="G95" s="10" t="str">
        <f>'1a FASE'!G96</f>
        <v>Sporting</v>
      </c>
      <c r="H95" s="10" t="str">
        <f>'1a FASE'!H96</f>
        <v>Sporting</v>
      </c>
      <c r="I95" s="10" t="str">
        <f>'1a FASE'!I96</f>
        <v>Sporting</v>
      </c>
      <c r="J95" s="10" t="str">
        <f>'1a FASE'!J96</f>
        <v>Sporting</v>
      </c>
      <c r="K95" s="10" t="str">
        <f>'1a FASE'!K96</f>
        <v>Sporting</v>
      </c>
      <c r="L95" s="10" t="str">
        <f>'1a FASE'!L96</f>
        <v>Sporting</v>
      </c>
      <c r="M95" s="10" t="str">
        <f>'1a FASE'!M96</f>
        <v>Sporting</v>
      </c>
      <c r="N95" s="10" t="str">
        <f>'1a FASE'!N96</f>
        <v>Sporting</v>
      </c>
      <c r="O95" s="10" t="str">
        <f>'1a FASE'!O96</f>
        <v>Empate</v>
      </c>
      <c r="P95" s="10" t="str">
        <f>'1a FASE'!P96</f>
        <v>Sporting</v>
      </c>
      <c r="Q95" s="10" t="str">
        <f>'1a FASE'!Q96</f>
        <v>Club Brugge</v>
      </c>
      <c r="R95" s="10" t="str">
        <f>'1a FASE'!R96</f>
        <v>Sporting</v>
      </c>
      <c r="S95" s="10" t="str">
        <f>'1a FASE'!S96</f>
        <v>Sporting</v>
      </c>
      <c r="T95" s="10" t="str">
        <f>'1a FASE'!T96</f>
        <v>Sporting</v>
      </c>
      <c r="U95" s="10" t="str">
        <f>'1a FASE'!U96</f>
        <v>Sporting</v>
      </c>
      <c r="V95" s="10" t="str">
        <f>'1a FASE'!V96</f>
        <v>Sporting</v>
      </c>
      <c r="W95" s="10" t="str">
        <f>'1a FASE'!W96</f>
        <v>Sporting</v>
      </c>
      <c r="X95" s="10">
        <f>+IF(C95=$B95,Pesos!$L$3,0)*IF(COUNTIF($C95:$W95,C95)=1,2,1)</f>
        <v>0.85</v>
      </c>
      <c r="Y95" s="10">
        <f>+IF(D95=$B95,Pesos!$L$3,0)*IF(COUNTIF($C95:$W95,D95)=1,2,1)</f>
        <v>0.85</v>
      </c>
      <c r="Z95" s="10">
        <f>+IF(E95=$B95,Pesos!$L$3,0)*IF(COUNTIF($C95:$W95,E95)=1,2,1)</f>
        <v>0.85</v>
      </c>
      <c r="AA95" s="10">
        <f>+IF(F95=$B95,Pesos!$L$3,0)*IF(COUNTIF($C95:$W95,F95)=1,2,1)</f>
        <v>0.85</v>
      </c>
      <c r="AB95" s="10">
        <f>+IF(G95=$B95,Pesos!$L$3,0)*IF(COUNTIF($C95:$W95,G95)=1,2,1)</f>
        <v>0.85</v>
      </c>
      <c r="AC95" s="10">
        <f>+IF(H95=$B95,Pesos!$L$3,0)*IF(COUNTIF($C95:$W95,H95)=1,2,1)</f>
        <v>0.85</v>
      </c>
      <c r="AD95" s="10">
        <f>+IF(I95=$B95,Pesos!$L$3,0)*IF(COUNTIF($C95:$W95,I95)=1,2,1)</f>
        <v>0.85</v>
      </c>
      <c r="AE95" s="10">
        <f>+IF(J95=$B95,Pesos!$L$3,0)*IF(COUNTIF($C95:$W95,J95)=1,2,1)</f>
        <v>0.85</v>
      </c>
      <c r="AF95" s="10">
        <f>+IF(K95=$B95,Pesos!$L$3,0)*IF(COUNTIF($C95:$W95,K95)=1,2,1)</f>
        <v>0.85</v>
      </c>
      <c r="AG95" s="10">
        <f>+IF(L95=$B95,Pesos!$L$3,0)*IF(COUNTIF($C95:$W95,L95)=1,2,1)</f>
        <v>0.85</v>
      </c>
      <c r="AH95" s="10">
        <f>+IF(M95=$B95,Pesos!$L$3,0)*IF(COUNTIF($C95:$W95,M95)=1,2,1)</f>
        <v>0.85</v>
      </c>
      <c r="AI95" s="10">
        <f>+IF(N95=$B95,Pesos!$L$3,0)*IF(COUNTIF($C95:$W95,N95)=1,2,1)</f>
        <v>0.85</v>
      </c>
      <c r="AJ95" s="10">
        <f>+IF(O95=$B95,Pesos!$L$3,0)*IF(COUNTIF($C95:$W95,O95)=1,2,1)</f>
        <v>0</v>
      </c>
      <c r="AK95" s="10">
        <f>+IF(P95=$B95,Pesos!$L$3,0)*IF(COUNTIF($C95:$W95,P95)=1,2,1)</f>
        <v>0.85</v>
      </c>
      <c r="AL95" s="10">
        <f>+IF(Q95=$B95,Pesos!$L$3,0)*IF(COUNTIF($C95:$W95,Q95)=1,2,1)</f>
        <v>0</v>
      </c>
      <c r="AM95" s="10">
        <f>+IF(R95=$B95,Pesos!$L$3,0)*IF(COUNTIF($C95:$W95,R95)=1,2,1)</f>
        <v>0.85</v>
      </c>
      <c r="AN95" s="10">
        <f>+IF(S95=$B95,Pesos!$L$3,0)*IF(COUNTIF($C95:$W95,S95)=1,2,1)</f>
        <v>0.85</v>
      </c>
      <c r="AO95" s="10">
        <f>+IF(T95=$B95,Pesos!$L$3,0)*IF(COUNTIF($C95:$W95,T95)=1,2,1)</f>
        <v>0.85</v>
      </c>
      <c r="AP95" s="10">
        <f>+IF(U95=$B95,Pesos!$L$3,0)*IF(COUNTIF($C95:$W95,U95)=1,2,1)</f>
        <v>0.85</v>
      </c>
      <c r="AQ95" s="10">
        <f>+IF(V95=$B95,Pesos!$L$3,0)*IF(COUNTIF($C95:$W95,V95)=1,2,1)</f>
        <v>0.85</v>
      </c>
      <c r="AR95" s="10">
        <f>+IF(W95=$B95,Pesos!$L$3,0)*IF(COUNTIF($C95:$W95,W95)=1,2,1)</f>
        <v>0.85</v>
      </c>
    </row>
    <row r="96" ht="12.75" customHeight="1">
      <c r="A96" s="1" t="str">
        <f>'1a FASE'!A97</f>
        <v>Machtday 5</v>
      </c>
      <c r="B96" s="8" t="str">
        <f>'1a FASE'!B97</f>
        <v>Real Madrid</v>
      </c>
      <c r="C96" s="11" t="str">
        <f>'1a FASE'!C97</f>
        <v>Real Madrid</v>
      </c>
      <c r="D96" s="11" t="str">
        <f>'1a FASE'!D97</f>
        <v>Real Madrid</v>
      </c>
      <c r="E96" s="11" t="str">
        <f>'1a FASE'!E97</f>
        <v>Real Madrid</v>
      </c>
      <c r="F96" s="11" t="str">
        <f>'1a FASE'!F97</f>
        <v>Real Madrid</v>
      </c>
      <c r="G96" s="11" t="str">
        <f>'1a FASE'!G97</f>
        <v>Empate</v>
      </c>
      <c r="H96" s="11" t="str">
        <f>'1a FASE'!H97</f>
        <v>Real Madrid</v>
      </c>
      <c r="I96" s="11" t="str">
        <f>'1a FASE'!I97</f>
        <v>Real Madrid</v>
      </c>
      <c r="J96" s="11" t="str">
        <f>'1a FASE'!J97</f>
        <v>Real Madrid</v>
      </c>
      <c r="K96" s="11" t="str">
        <f>'1a FASE'!K97</f>
        <v>Real Madrid</v>
      </c>
      <c r="L96" s="11" t="str">
        <f>'1a FASE'!L97</f>
        <v>Real Madrid</v>
      </c>
      <c r="M96" s="11" t="str">
        <f>'1a FASE'!M97</f>
        <v>Real Madrid</v>
      </c>
      <c r="N96" s="11" t="str">
        <f>'1a FASE'!N97</f>
        <v>Real Madrid</v>
      </c>
      <c r="O96" s="11" t="str">
        <f>'1a FASE'!O97</f>
        <v>Real Madrid</v>
      </c>
      <c r="P96" s="11" t="str">
        <f>'1a FASE'!P97</f>
        <v>Real Madrid</v>
      </c>
      <c r="Q96" s="11" t="str">
        <f>'1a FASE'!Q97</f>
        <v>Empate</v>
      </c>
      <c r="R96" s="11" t="str">
        <f>'1a FASE'!R97</f>
        <v>Real Madrid</v>
      </c>
      <c r="S96" s="11" t="str">
        <f>'1a FASE'!S97</f>
        <v>Real Madrid</v>
      </c>
      <c r="T96" s="11" t="str">
        <f>'1a FASE'!T97</f>
        <v>Olympiacos</v>
      </c>
      <c r="U96" s="11" t="str">
        <f>'1a FASE'!U97</f>
        <v>Real Madrid</v>
      </c>
      <c r="V96" s="11" t="str">
        <f>'1a FASE'!V97</f>
        <v>Real Madrid</v>
      </c>
      <c r="W96" s="11" t="str">
        <f>'1a FASE'!W97</f>
        <v>Real Madrid</v>
      </c>
      <c r="X96" s="11">
        <f>+IF(C96=$B96,Pesos!$L$3,0)*IF(COUNTIF($C96:$W96,C96)=1,2,1)</f>
        <v>0.85</v>
      </c>
      <c r="Y96" s="11">
        <f>+IF(D96=$B96,Pesos!$L$3,0)*IF(COUNTIF($C96:$W96,D96)=1,2,1)</f>
        <v>0.85</v>
      </c>
      <c r="Z96" s="11">
        <f>+IF(E96=$B96,Pesos!$L$3,0)*IF(COUNTIF($C96:$W96,E96)=1,2,1)</f>
        <v>0.85</v>
      </c>
      <c r="AA96" s="11">
        <f>+IF(F96=$B96,Pesos!$L$3,0)*IF(COUNTIF($C96:$W96,F96)=1,2,1)</f>
        <v>0.85</v>
      </c>
      <c r="AB96" s="11">
        <f>+IF(G96=$B96,Pesos!$L$3,0)*IF(COUNTIF($C96:$W96,G96)=1,2,1)</f>
        <v>0</v>
      </c>
      <c r="AC96" s="11">
        <f>+IF(H96=$B96,Pesos!$L$3,0)*IF(COUNTIF($C96:$W96,H96)=1,2,1)</f>
        <v>0.85</v>
      </c>
      <c r="AD96" s="11">
        <f>+IF(I96=$B96,Pesos!$L$3,0)*IF(COUNTIF($C96:$W96,I96)=1,2,1)</f>
        <v>0.85</v>
      </c>
      <c r="AE96" s="11">
        <f>+IF(J96=$B96,Pesos!$L$3,0)*IF(COUNTIF($C96:$W96,J96)=1,2,1)</f>
        <v>0.85</v>
      </c>
      <c r="AF96" s="11">
        <f>+IF(K96=$B96,Pesos!$L$3,0)*IF(COUNTIF($C96:$W96,K96)=1,2,1)</f>
        <v>0.85</v>
      </c>
      <c r="AG96" s="11">
        <f>+IF(L96=$B96,Pesos!$L$3,0)*IF(COUNTIF($C96:$W96,L96)=1,2,1)</f>
        <v>0.85</v>
      </c>
      <c r="AH96" s="11">
        <f>+IF(M96=$B96,Pesos!$L$3,0)*IF(COUNTIF($C96:$W96,M96)=1,2,1)</f>
        <v>0.85</v>
      </c>
      <c r="AI96" s="11">
        <f>+IF(N96=$B96,Pesos!$L$3,0)*IF(COUNTIF($C96:$W96,N96)=1,2,1)</f>
        <v>0.85</v>
      </c>
      <c r="AJ96" s="11">
        <f>+IF(O96=$B96,Pesos!$L$3,0)*IF(COUNTIF($C96:$W96,O96)=1,2,1)</f>
        <v>0.85</v>
      </c>
      <c r="AK96" s="11">
        <f>+IF(P96=$B96,Pesos!$L$3,0)*IF(COUNTIF($C96:$W96,P96)=1,2,1)</f>
        <v>0.85</v>
      </c>
      <c r="AL96" s="11">
        <f>+IF(Q96=$B96,Pesos!$L$3,0)*IF(COUNTIF($C96:$W96,Q96)=1,2,1)</f>
        <v>0</v>
      </c>
      <c r="AM96" s="11">
        <f>+IF(R96=$B96,Pesos!$L$3,0)*IF(COUNTIF($C96:$W96,R96)=1,2,1)</f>
        <v>0.85</v>
      </c>
      <c r="AN96" s="11">
        <f>+IF(S96=$B96,Pesos!$L$3,0)*IF(COUNTIF($C96:$W96,S96)=1,2,1)</f>
        <v>0.85</v>
      </c>
      <c r="AO96" s="11">
        <f>+IF(T96=$B96,Pesos!$L$3,0)*IF(COUNTIF($C96:$W96,T96)=1,2,1)</f>
        <v>0</v>
      </c>
      <c r="AP96" s="11">
        <f>+IF(U96=$B96,Pesos!$L$3,0)*IF(COUNTIF($C96:$W96,U96)=1,2,1)</f>
        <v>0.85</v>
      </c>
      <c r="AQ96" s="11">
        <f>+IF(V96=$B96,Pesos!$L$3,0)*IF(COUNTIF($C96:$W96,V96)=1,2,1)</f>
        <v>0.85</v>
      </c>
      <c r="AR96" s="11">
        <f>+IF(W96=$B96,Pesos!$L$3,0)*IF(COUNTIF($C96:$W96,W96)=1,2,1)</f>
        <v>0.85</v>
      </c>
    </row>
    <row r="97" ht="12.75" customHeight="1">
      <c r="A97" s="1" t="str">
        <f>'1a FASE'!A98</f>
        <v>Machtday 6</v>
      </c>
      <c r="B97" s="8" t="str">
        <f>'1a FASE'!B98</f>
        <v>Olympiacos</v>
      </c>
      <c r="C97" s="10" t="str">
        <f>'1a FASE'!C98</f>
        <v>Olympiacos</v>
      </c>
      <c r="D97" s="10" t="str">
        <f>'1a FASE'!D98</f>
        <v>Olympiacos</v>
      </c>
      <c r="E97" s="10" t="str">
        <f>'1a FASE'!E98</f>
        <v>Olympiacos</v>
      </c>
      <c r="F97" s="10" t="str">
        <f>'1a FASE'!F98</f>
        <v>Olympiacos</v>
      </c>
      <c r="G97" s="10" t="str">
        <f>'1a FASE'!G98</f>
        <v>Kairat</v>
      </c>
      <c r="H97" s="10" t="str">
        <f>'1a FASE'!H98</f>
        <v>Olympiacos</v>
      </c>
      <c r="I97" s="10" t="str">
        <f>'1a FASE'!I98</f>
        <v>Olympiacos</v>
      </c>
      <c r="J97" s="10" t="str">
        <f>'1a FASE'!J98</f>
        <v>Olympiacos</v>
      </c>
      <c r="K97" s="10" t="str">
        <f>'1a FASE'!K98</f>
        <v>Olympiacos</v>
      </c>
      <c r="L97" s="10" t="str">
        <f>'1a FASE'!L98</f>
        <v>Kairat</v>
      </c>
      <c r="M97" s="10" t="str">
        <f>'1a FASE'!M98</f>
        <v>Olympiacos</v>
      </c>
      <c r="N97" s="10" t="str">
        <f>'1a FASE'!N98</f>
        <v>Olympiacos</v>
      </c>
      <c r="O97" s="10" t="str">
        <f>'1a FASE'!O98</f>
        <v>Empate</v>
      </c>
      <c r="P97" s="10" t="str">
        <f>'1a FASE'!P98</f>
        <v>Empate</v>
      </c>
      <c r="Q97" s="10" t="str">
        <f>'1a FASE'!Q98</f>
        <v>Olympiacos</v>
      </c>
      <c r="R97" s="10" t="str">
        <f>'1a FASE'!R98</f>
        <v>Kairat</v>
      </c>
      <c r="S97" s="10" t="str">
        <f>'1a FASE'!S98</f>
        <v>Empate</v>
      </c>
      <c r="T97" s="10" t="str">
        <f>'1a FASE'!T98</f>
        <v>Kairat</v>
      </c>
      <c r="U97" s="10" t="str">
        <f>'1a FASE'!U98</f>
        <v>Empate</v>
      </c>
      <c r="V97" s="10" t="str">
        <f>'1a FASE'!V98</f>
        <v>Olympiacos</v>
      </c>
      <c r="W97" s="10" t="str">
        <f>'1a FASE'!W98</f>
        <v>Olympiacos</v>
      </c>
      <c r="X97" s="10">
        <f>+IF(C97=$B97,Pesos!$L$3,0)*IF(COUNTIF($C97:$W97,C97)=1,2,1)</f>
        <v>0.85</v>
      </c>
      <c r="Y97" s="10">
        <f>+IF(D97=$B97,Pesos!$L$3,0)*IF(COUNTIF($C97:$W97,D97)=1,2,1)</f>
        <v>0.85</v>
      </c>
      <c r="Z97" s="10">
        <f>+IF(E97=$B97,Pesos!$L$3,0)*IF(COUNTIF($C97:$W97,E97)=1,2,1)</f>
        <v>0.85</v>
      </c>
      <c r="AA97" s="10">
        <f>+IF(F97=$B97,Pesos!$L$3,0)*IF(COUNTIF($C97:$W97,F97)=1,2,1)</f>
        <v>0.85</v>
      </c>
      <c r="AB97" s="10">
        <f>+IF(G97=$B97,Pesos!$L$3,0)*IF(COUNTIF($C97:$W97,G97)=1,2,1)</f>
        <v>0</v>
      </c>
      <c r="AC97" s="10">
        <f>+IF(H97=$B97,Pesos!$L$3,0)*IF(COUNTIF($C97:$W97,H97)=1,2,1)</f>
        <v>0.85</v>
      </c>
      <c r="AD97" s="10">
        <f>+IF(I97=$B97,Pesos!$L$3,0)*IF(COUNTIF($C97:$W97,I97)=1,2,1)</f>
        <v>0.85</v>
      </c>
      <c r="AE97" s="10">
        <f>+IF(J97=$B97,Pesos!$L$3,0)*IF(COUNTIF($C97:$W97,J97)=1,2,1)</f>
        <v>0.85</v>
      </c>
      <c r="AF97" s="10">
        <f>+IF(K97=$B97,Pesos!$L$3,0)*IF(COUNTIF($C97:$W97,K97)=1,2,1)</f>
        <v>0.85</v>
      </c>
      <c r="AG97" s="10">
        <f>+IF(L97=$B97,Pesos!$L$3,0)*IF(COUNTIF($C97:$W97,L97)=1,2,1)</f>
        <v>0</v>
      </c>
      <c r="AH97" s="10">
        <f>+IF(M97=$B97,Pesos!$L$3,0)*IF(COUNTIF($C97:$W97,M97)=1,2,1)</f>
        <v>0.85</v>
      </c>
      <c r="AI97" s="10">
        <f>+IF(N97=$B97,Pesos!$L$3,0)*IF(COUNTIF($C97:$W97,N97)=1,2,1)</f>
        <v>0.85</v>
      </c>
      <c r="AJ97" s="10">
        <f>+IF(O97=$B97,Pesos!$L$3,0)*IF(COUNTIF($C97:$W97,O97)=1,2,1)</f>
        <v>0</v>
      </c>
      <c r="AK97" s="10">
        <f>+IF(P97=$B97,Pesos!$L$3,0)*IF(COUNTIF($C97:$W97,P97)=1,2,1)</f>
        <v>0</v>
      </c>
      <c r="AL97" s="10">
        <f>+IF(Q97=$B97,Pesos!$L$3,0)*IF(COUNTIF($C97:$W97,Q97)=1,2,1)</f>
        <v>0.85</v>
      </c>
      <c r="AM97" s="10">
        <f>+IF(R97=$B97,Pesos!$L$3,0)*IF(COUNTIF($C97:$W97,R97)=1,2,1)</f>
        <v>0</v>
      </c>
      <c r="AN97" s="10">
        <f>+IF(S97=$B97,Pesos!$L$3,0)*IF(COUNTIF($C97:$W97,S97)=1,2,1)</f>
        <v>0</v>
      </c>
      <c r="AO97" s="10">
        <f>+IF(T97=$B97,Pesos!$L$3,0)*IF(COUNTIF($C97:$W97,T97)=1,2,1)</f>
        <v>0</v>
      </c>
      <c r="AP97" s="10">
        <f>+IF(U97=$B97,Pesos!$L$3,0)*IF(COUNTIF($C97:$W97,U97)=1,2,1)</f>
        <v>0</v>
      </c>
      <c r="AQ97" s="10">
        <f>+IF(V97=$B97,Pesos!$L$3,0)*IF(COUNTIF($C97:$W97,V97)=1,2,1)</f>
        <v>0.85</v>
      </c>
      <c r="AR97" s="10">
        <f>+IF(W97=$B97,Pesos!$L$3,0)*IF(COUNTIF($C97:$W97,W97)=1,2,1)</f>
        <v>0.85</v>
      </c>
    </row>
    <row r="98" ht="12.75" customHeight="1">
      <c r="A98" s="1" t="str">
        <f>'1a FASE'!A99</f>
        <v>Machtday 6</v>
      </c>
      <c r="B98" s="8" t="str">
        <f>'1a FASE'!B99</f>
        <v>Bayern de Munique</v>
      </c>
      <c r="C98" s="11" t="str">
        <f>'1a FASE'!C99</f>
        <v>Bayern de Munique</v>
      </c>
      <c r="D98" s="11" t="str">
        <f>'1a FASE'!D99</f>
        <v>Bayern de Munique</v>
      </c>
      <c r="E98" s="11" t="str">
        <f>'1a FASE'!E99</f>
        <v>Bayern de Munique</v>
      </c>
      <c r="F98" s="11" t="str">
        <f>'1a FASE'!F99</f>
        <v>Bayern de Munique</v>
      </c>
      <c r="G98" s="11" t="str">
        <f>'1a FASE'!G99</f>
        <v>Bayern de Munique</v>
      </c>
      <c r="H98" s="11" t="str">
        <f>'1a FASE'!H99</f>
        <v>Bayern de Munique</v>
      </c>
      <c r="I98" s="11" t="str">
        <f>'1a FASE'!I99</f>
        <v>Bayern de Munique</v>
      </c>
      <c r="J98" s="11" t="str">
        <f>'1a FASE'!J99</f>
        <v>Bayern de Munique</v>
      </c>
      <c r="K98" s="11" t="str">
        <f>'1a FASE'!K99</f>
        <v>Bayern de Munique</v>
      </c>
      <c r="L98" s="11" t="str">
        <f>'1a FASE'!L99</f>
        <v>Bayern de Munique</v>
      </c>
      <c r="M98" s="11" t="str">
        <f>'1a FASE'!M99</f>
        <v>Bayern de Munique</v>
      </c>
      <c r="N98" s="11" t="str">
        <f>'1a FASE'!N99</f>
        <v>Bayern de Munique</v>
      </c>
      <c r="O98" s="11" t="str">
        <f>'1a FASE'!O99</f>
        <v>Empate</v>
      </c>
      <c r="P98" s="11" t="str">
        <f>'1a FASE'!P99</f>
        <v>Bayern de Munique</v>
      </c>
      <c r="Q98" s="11" t="str">
        <f>'1a FASE'!Q99</f>
        <v>Bayern de Munique</v>
      </c>
      <c r="R98" s="11" t="str">
        <f>'1a FASE'!R99</f>
        <v>Bayern de Munique</v>
      </c>
      <c r="S98" s="11" t="str">
        <f>'1a FASE'!S99</f>
        <v>Bayern de Munique</v>
      </c>
      <c r="T98" s="11" t="str">
        <f>'1a FASE'!T99</f>
        <v>Bayern de Munique</v>
      </c>
      <c r="U98" s="11" t="str">
        <f>'1a FASE'!U99</f>
        <v>Bayern de Munique</v>
      </c>
      <c r="V98" s="11" t="str">
        <f>'1a FASE'!V99</f>
        <v>Bayern de Munique</v>
      </c>
      <c r="W98" s="11" t="str">
        <f>'1a FASE'!W99</f>
        <v>Bayern de Munique</v>
      </c>
      <c r="X98" s="11">
        <f>+IF(C98=$B98,Pesos!$L$3,0)*IF(COUNTIF($C98:$W98,C98)=1,2,1)</f>
        <v>0.85</v>
      </c>
      <c r="Y98" s="11">
        <f>+IF(D98=$B98,Pesos!$L$3,0)*IF(COUNTIF($C98:$W98,D98)=1,2,1)</f>
        <v>0.85</v>
      </c>
      <c r="Z98" s="11">
        <f>+IF(E98=$B98,Pesos!$L$3,0)*IF(COUNTIF($C98:$W98,E98)=1,2,1)</f>
        <v>0.85</v>
      </c>
      <c r="AA98" s="11">
        <f>+IF(F98=$B98,Pesos!$L$3,0)*IF(COUNTIF($C98:$W98,F98)=1,2,1)</f>
        <v>0.85</v>
      </c>
      <c r="AB98" s="11">
        <f>+IF(G98=$B98,Pesos!$L$3,0)*IF(COUNTIF($C98:$W98,G98)=1,2,1)</f>
        <v>0.85</v>
      </c>
      <c r="AC98" s="11">
        <f>+IF(H98=$B98,Pesos!$L$3,0)*IF(COUNTIF($C98:$W98,H98)=1,2,1)</f>
        <v>0.85</v>
      </c>
      <c r="AD98" s="11">
        <f>+IF(I98=$B98,Pesos!$L$3,0)*IF(COUNTIF($C98:$W98,I98)=1,2,1)</f>
        <v>0.85</v>
      </c>
      <c r="AE98" s="11">
        <f>+IF(J98=$B98,Pesos!$L$3,0)*IF(COUNTIF($C98:$W98,J98)=1,2,1)</f>
        <v>0.85</v>
      </c>
      <c r="AF98" s="11">
        <f>+IF(K98=$B98,Pesos!$L$3,0)*IF(COUNTIF($C98:$W98,K98)=1,2,1)</f>
        <v>0.85</v>
      </c>
      <c r="AG98" s="11">
        <f>+IF(L98=$B98,Pesos!$L$3,0)*IF(COUNTIF($C98:$W98,L98)=1,2,1)</f>
        <v>0.85</v>
      </c>
      <c r="AH98" s="11">
        <f>+IF(M98=$B98,Pesos!$L$3,0)*IF(COUNTIF($C98:$W98,M98)=1,2,1)</f>
        <v>0.85</v>
      </c>
      <c r="AI98" s="11">
        <f>+IF(N98=$B98,Pesos!$L$3,0)*IF(COUNTIF($C98:$W98,N98)=1,2,1)</f>
        <v>0.85</v>
      </c>
      <c r="AJ98" s="11">
        <f>+IF(O98=$B98,Pesos!$L$3,0)*IF(COUNTIF($C98:$W98,O98)=1,2,1)</f>
        <v>0</v>
      </c>
      <c r="AK98" s="11">
        <f>+IF(P98=$B98,Pesos!$L$3,0)*IF(COUNTIF($C98:$W98,P98)=1,2,1)</f>
        <v>0.85</v>
      </c>
      <c r="AL98" s="11">
        <f>+IF(Q98=$B98,Pesos!$L$3,0)*IF(COUNTIF($C98:$W98,Q98)=1,2,1)</f>
        <v>0.85</v>
      </c>
      <c r="AM98" s="11">
        <f>+IF(R98=$B98,Pesos!$L$3,0)*IF(COUNTIF($C98:$W98,R98)=1,2,1)</f>
        <v>0.85</v>
      </c>
      <c r="AN98" s="11">
        <f>+IF(S98=$B98,Pesos!$L$3,0)*IF(COUNTIF($C98:$W98,S98)=1,2,1)</f>
        <v>0.85</v>
      </c>
      <c r="AO98" s="11">
        <f>+IF(T98=$B98,Pesos!$L$3,0)*IF(COUNTIF($C98:$W98,T98)=1,2,1)</f>
        <v>0.85</v>
      </c>
      <c r="AP98" s="11">
        <f>+IF(U98=$B98,Pesos!$L$3,0)*IF(COUNTIF($C98:$W98,U98)=1,2,1)</f>
        <v>0.85</v>
      </c>
      <c r="AQ98" s="11">
        <f>+IF(V98=$B98,Pesos!$L$3,0)*IF(COUNTIF($C98:$W98,V98)=1,2,1)</f>
        <v>0.85</v>
      </c>
      <c r="AR98" s="11">
        <f>+IF(W98=$B98,Pesos!$L$3,0)*IF(COUNTIF($C98:$W98,W98)=1,2,1)</f>
        <v>0.85</v>
      </c>
    </row>
    <row r="99" ht="12.75" customHeight="1">
      <c r="A99" s="1" t="str">
        <f>'1a FASE'!A100</f>
        <v>Machtday 6</v>
      </c>
      <c r="B99" s="8" t="str">
        <f>'1a FASE'!B100</f>
        <v>Liverpool</v>
      </c>
      <c r="C99" s="10" t="str">
        <f>'1a FASE'!C100</f>
        <v>Liverpool</v>
      </c>
      <c r="D99" s="10" t="str">
        <f>'1a FASE'!D100</f>
        <v>Empate</v>
      </c>
      <c r="E99" s="10" t="str">
        <f>'1a FASE'!E100</f>
        <v>Liverpool</v>
      </c>
      <c r="F99" s="10" t="str">
        <f>'1a FASE'!F100</f>
        <v>Liverpool</v>
      </c>
      <c r="G99" s="10" t="str">
        <f>'1a FASE'!G100</f>
        <v>Empate</v>
      </c>
      <c r="H99" s="10" t="str">
        <f>'1a FASE'!H100</f>
        <v>Liverpool</v>
      </c>
      <c r="I99" s="10" t="str">
        <f>'1a FASE'!I100</f>
        <v>Internazionale</v>
      </c>
      <c r="J99" s="10" t="str">
        <f>'1a FASE'!J100</f>
        <v>Liverpool</v>
      </c>
      <c r="K99" s="10" t="str">
        <f>'1a FASE'!K100</f>
        <v>Empate</v>
      </c>
      <c r="L99" s="10" t="str">
        <f>'1a FASE'!L100</f>
        <v>Internazionale</v>
      </c>
      <c r="M99" s="10" t="str">
        <f>'1a FASE'!M100</f>
        <v>Liverpool</v>
      </c>
      <c r="N99" s="10" t="str">
        <f>'1a FASE'!N100</f>
        <v>Liverpool</v>
      </c>
      <c r="O99" s="10" t="str">
        <f>'1a FASE'!O100</f>
        <v>Empate</v>
      </c>
      <c r="P99" s="10" t="str">
        <f>'1a FASE'!P100</f>
        <v>Liverpool</v>
      </c>
      <c r="Q99" s="10" t="str">
        <f>'1a FASE'!Q100</f>
        <v>Liverpool</v>
      </c>
      <c r="R99" s="10" t="str">
        <f>'1a FASE'!R100</f>
        <v>Internazionale</v>
      </c>
      <c r="S99" s="10" t="str">
        <f>'1a FASE'!S100</f>
        <v>Liverpool</v>
      </c>
      <c r="T99" s="10" t="str">
        <f>'1a FASE'!T100</f>
        <v>Internazionale</v>
      </c>
      <c r="U99" s="10" t="str">
        <f>'1a FASE'!U100</f>
        <v>Internazionale</v>
      </c>
      <c r="V99" s="10" t="str">
        <f>'1a FASE'!V100</f>
        <v>Liverpool</v>
      </c>
      <c r="W99" s="10" t="str">
        <f>'1a FASE'!W100</f>
        <v>Liverpool</v>
      </c>
      <c r="X99" s="10">
        <f>+IF(C99=$B99,Pesos!$L$3,0)*IF(COUNTIF($C99:$W99,C99)=1,2,1)</f>
        <v>0.85</v>
      </c>
      <c r="Y99" s="10">
        <f>+IF(D99=$B99,Pesos!$L$3,0)*IF(COUNTIF($C99:$W99,D99)=1,2,1)</f>
        <v>0</v>
      </c>
      <c r="Z99" s="10">
        <f>+IF(E99=$B99,Pesos!$L$3,0)*IF(COUNTIF($C99:$W99,E99)=1,2,1)</f>
        <v>0.85</v>
      </c>
      <c r="AA99" s="10">
        <f>+IF(F99=$B99,Pesos!$L$3,0)*IF(COUNTIF($C99:$W99,F99)=1,2,1)</f>
        <v>0.85</v>
      </c>
      <c r="AB99" s="10">
        <f>+IF(G99=$B99,Pesos!$L$3,0)*IF(COUNTIF($C99:$W99,G99)=1,2,1)</f>
        <v>0</v>
      </c>
      <c r="AC99" s="10">
        <f>+IF(H99=$B99,Pesos!$L$3,0)*IF(COUNTIF($C99:$W99,H99)=1,2,1)</f>
        <v>0.85</v>
      </c>
      <c r="AD99" s="10">
        <f>+IF(I99=$B99,Pesos!$L$3,0)*IF(COUNTIF($C99:$W99,I99)=1,2,1)</f>
        <v>0</v>
      </c>
      <c r="AE99" s="10">
        <f>+IF(J99=$B99,Pesos!$L$3,0)*IF(COUNTIF($C99:$W99,J99)=1,2,1)</f>
        <v>0.85</v>
      </c>
      <c r="AF99" s="10">
        <f>+IF(K99=$B99,Pesos!$L$3,0)*IF(COUNTIF($C99:$W99,K99)=1,2,1)</f>
        <v>0</v>
      </c>
      <c r="AG99" s="10">
        <f>+IF(L99=$B99,Pesos!$L$3,0)*IF(COUNTIF($C99:$W99,L99)=1,2,1)</f>
        <v>0</v>
      </c>
      <c r="AH99" s="10">
        <f>+IF(M99=$B99,Pesos!$L$3,0)*IF(COUNTIF($C99:$W99,M99)=1,2,1)</f>
        <v>0.85</v>
      </c>
      <c r="AI99" s="10">
        <f>+IF(N99=$B99,Pesos!$L$3,0)*IF(COUNTIF($C99:$W99,N99)=1,2,1)</f>
        <v>0.85</v>
      </c>
      <c r="AJ99" s="10">
        <f>+IF(O99=$B99,Pesos!$L$3,0)*IF(COUNTIF($C99:$W99,O99)=1,2,1)</f>
        <v>0</v>
      </c>
      <c r="AK99" s="10">
        <f>+IF(P99=$B99,Pesos!$L$3,0)*IF(COUNTIF($C99:$W99,P99)=1,2,1)</f>
        <v>0.85</v>
      </c>
      <c r="AL99" s="10">
        <f>+IF(Q99=$B99,Pesos!$L$3,0)*IF(COUNTIF($C99:$W99,Q99)=1,2,1)</f>
        <v>0.85</v>
      </c>
      <c r="AM99" s="10">
        <f>+IF(R99=$B99,Pesos!$L$3,0)*IF(COUNTIF($C99:$W99,R99)=1,2,1)</f>
        <v>0</v>
      </c>
      <c r="AN99" s="10">
        <f>+IF(S99=$B99,Pesos!$L$3,0)*IF(COUNTIF($C99:$W99,S99)=1,2,1)</f>
        <v>0.85</v>
      </c>
      <c r="AO99" s="10">
        <f>+IF(T99=$B99,Pesos!$L$3,0)*IF(COUNTIF($C99:$W99,T99)=1,2,1)</f>
        <v>0</v>
      </c>
      <c r="AP99" s="10">
        <f>+IF(U99=$B99,Pesos!$L$3,0)*IF(COUNTIF($C99:$W99,U99)=1,2,1)</f>
        <v>0</v>
      </c>
      <c r="AQ99" s="10">
        <f>+IF(V99=$B99,Pesos!$L$3,0)*IF(COUNTIF($C99:$W99,V99)=1,2,1)</f>
        <v>0.85</v>
      </c>
      <c r="AR99" s="10">
        <f>+IF(W99=$B99,Pesos!$L$3,0)*IF(COUNTIF($C99:$W99,W99)=1,2,1)</f>
        <v>0.85</v>
      </c>
    </row>
    <row r="100" ht="12.75" customHeight="1">
      <c r="A100" s="1" t="str">
        <f>'1a FASE'!A101</f>
        <v>Machtday 6</v>
      </c>
      <c r="B100" s="8" t="str">
        <f>'1a FASE'!B101</f>
        <v>Barcelona</v>
      </c>
      <c r="C100" s="11" t="str">
        <f>'1a FASE'!C101</f>
        <v>Barcelona</v>
      </c>
      <c r="D100" s="11" t="str">
        <f>'1a FASE'!D101</f>
        <v>Barcelona</v>
      </c>
      <c r="E100" s="11" t="str">
        <f>'1a FASE'!E101</f>
        <v>Barcelona</v>
      </c>
      <c r="F100" s="11" t="str">
        <f>'1a FASE'!F101</f>
        <v>Barcelona</v>
      </c>
      <c r="G100" s="11" t="str">
        <f>'1a FASE'!G101</f>
        <v>Barcelona</v>
      </c>
      <c r="H100" s="11" t="str">
        <f>'1a FASE'!H101</f>
        <v>Barcelona</v>
      </c>
      <c r="I100" s="11" t="str">
        <f>'1a FASE'!I101</f>
        <v>Barcelona</v>
      </c>
      <c r="J100" s="11" t="str">
        <f>'1a FASE'!J101</f>
        <v>Barcelona</v>
      </c>
      <c r="K100" s="11" t="str">
        <f>'1a FASE'!K101</f>
        <v>Barcelona</v>
      </c>
      <c r="L100" s="11" t="str">
        <f>'1a FASE'!L101</f>
        <v>Barcelona</v>
      </c>
      <c r="M100" s="11" t="str">
        <f>'1a FASE'!M101</f>
        <v>Barcelona</v>
      </c>
      <c r="N100" s="11" t="str">
        <f>'1a FASE'!N101</f>
        <v>Barcelona</v>
      </c>
      <c r="O100" s="11" t="str">
        <f>'1a FASE'!O101</f>
        <v>Barcelona</v>
      </c>
      <c r="P100" s="11" t="str">
        <f>'1a FASE'!P101</f>
        <v>Barcelona</v>
      </c>
      <c r="Q100" s="11" t="str">
        <f>'1a FASE'!Q101</f>
        <v>Barcelona</v>
      </c>
      <c r="R100" s="11" t="str">
        <f>'1a FASE'!R101</f>
        <v>Barcelona</v>
      </c>
      <c r="S100" s="11" t="str">
        <f>'1a FASE'!S101</f>
        <v>Barcelona</v>
      </c>
      <c r="T100" s="11" t="str">
        <f>'1a FASE'!T101</f>
        <v>Barcelona</v>
      </c>
      <c r="U100" s="11" t="str">
        <f>'1a FASE'!U101</f>
        <v>Barcelona</v>
      </c>
      <c r="V100" s="11" t="str">
        <f>'1a FASE'!V101</f>
        <v>Barcelona</v>
      </c>
      <c r="W100" s="11" t="str">
        <f>'1a FASE'!W101</f>
        <v>Barcelona</v>
      </c>
      <c r="X100" s="11">
        <f>+IF(C100=$B100,Pesos!$L$3,0)*IF(COUNTIF($C100:$W100,C100)=1,2,1)</f>
        <v>0.85</v>
      </c>
      <c r="Y100" s="11">
        <f>+IF(D100=$B100,Pesos!$L$3,0)*IF(COUNTIF($C100:$W100,D100)=1,2,1)</f>
        <v>0.85</v>
      </c>
      <c r="Z100" s="11">
        <f>+IF(E100=$B100,Pesos!$L$3,0)*IF(COUNTIF($C100:$W100,E100)=1,2,1)</f>
        <v>0.85</v>
      </c>
      <c r="AA100" s="11">
        <f>+IF(F100=$B100,Pesos!$L$3,0)*IF(COUNTIF($C100:$W100,F100)=1,2,1)</f>
        <v>0.85</v>
      </c>
      <c r="AB100" s="11">
        <f>+IF(G100=$B100,Pesos!$L$3,0)*IF(COUNTIF($C100:$W100,G100)=1,2,1)</f>
        <v>0.85</v>
      </c>
      <c r="AC100" s="11">
        <f>+IF(H100=$B100,Pesos!$L$3,0)*IF(COUNTIF($C100:$W100,H100)=1,2,1)</f>
        <v>0.85</v>
      </c>
      <c r="AD100" s="11">
        <f>+IF(I100=$B100,Pesos!$L$3,0)*IF(COUNTIF($C100:$W100,I100)=1,2,1)</f>
        <v>0.85</v>
      </c>
      <c r="AE100" s="11">
        <f>+IF(J100=$B100,Pesos!$L$3,0)*IF(COUNTIF($C100:$W100,J100)=1,2,1)</f>
        <v>0.85</v>
      </c>
      <c r="AF100" s="11">
        <f>+IF(K100=$B100,Pesos!$L$3,0)*IF(COUNTIF($C100:$W100,K100)=1,2,1)</f>
        <v>0.85</v>
      </c>
      <c r="AG100" s="11">
        <f>+IF(L100=$B100,Pesos!$L$3,0)*IF(COUNTIF($C100:$W100,L100)=1,2,1)</f>
        <v>0.85</v>
      </c>
      <c r="AH100" s="11">
        <f>+IF(M100=$B100,Pesos!$L$3,0)*IF(COUNTIF($C100:$W100,M100)=1,2,1)</f>
        <v>0.85</v>
      </c>
      <c r="AI100" s="11">
        <f>+IF(N100=$B100,Pesos!$L$3,0)*IF(COUNTIF($C100:$W100,N100)=1,2,1)</f>
        <v>0.85</v>
      </c>
      <c r="AJ100" s="11">
        <f>+IF(O100=$B100,Pesos!$L$3,0)*IF(COUNTIF($C100:$W100,O100)=1,2,1)</f>
        <v>0.85</v>
      </c>
      <c r="AK100" s="11">
        <f>+IF(P100=$B100,Pesos!$L$3,0)*IF(COUNTIF($C100:$W100,P100)=1,2,1)</f>
        <v>0.85</v>
      </c>
      <c r="AL100" s="11">
        <f>+IF(Q100=$B100,Pesos!$L$3,0)*IF(COUNTIF($C100:$W100,Q100)=1,2,1)</f>
        <v>0.85</v>
      </c>
      <c r="AM100" s="11">
        <f>+IF(R100=$B100,Pesos!$L$3,0)*IF(COUNTIF($C100:$W100,R100)=1,2,1)</f>
        <v>0.85</v>
      </c>
      <c r="AN100" s="11">
        <f>+IF(S100=$B100,Pesos!$L$3,0)*IF(COUNTIF($C100:$W100,S100)=1,2,1)</f>
        <v>0.85</v>
      </c>
      <c r="AO100" s="11">
        <f>+IF(T100=$B100,Pesos!$L$3,0)*IF(COUNTIF($C100:$W100,T100)=1,2,1)</f>
        <v>0.85</v>
      </c>
      <c r="AP100" s="11">
        <f>+IF(U100=$B100,Pesos!$L$3,0)*IF(COUNTIF($C100:$W100,U100)=1,2,1)</f>
        <v>0.85</v>
      </c>
      <c r="AQ100" s="11">
        <f>+IF(V100=$B100,Pesos!$L$3,0)*IF(COUNTIF($C100:$W100,V100)=1,2,1)</f>
        <v>0.85</v>
      </c>
      <c r="AR100" s="11">
        <f>+IF(W100=$B100,Pesos!$L$3,0)*IF(COUNTIF($C100:$W100,W100)=1,2,1)</f>
        <v>0.85</v>
      </c>
    </row>
    <row r="101" ht="12.75" customHeight="1">
      <c r="A101" s="1" t="str">
        <f>'1a FASE'!A102</f>
        <v>Machtday 6</v>
      </c>
      <c r="B101" s="8" t="str">
        <f>'1a FASE'!B102</f>
        <v>Atalanta</v>
      </c>
      <c r="C101" s="10" t="str">
        <f>'1a FASE'!C102</f>
        <v>Empate</v>
      </c>
      <c r="D101" s="10" t="str">
        <f>'1a FASE'!D102</f>
        <v>Empate</v>
      </c>
      <c r="E101" s="10" t="str">
        <f>'1a FASE'!E102</f>
        <v>Chelsea</v>
      </c>
      <c r="F101" s="10" t="str">
        <f>'1a FASE'!F102</f>
        <v>Chelsea</v>
      </c>
      <c r="G101" s="10" t="str">
        <f>'1a FASE'!G102</f>
        <v>Empate</v>
      </c>
      <c r="H101" s="10" t="str">
        <f>'1a FASE'!H102</f>
        <v>Chelsea</v>
      </c>
      <c r="I101" s="10" t="str">
        <f>'1a FASE'!I102</f>
        <v>Chelsea</v>
      </c>
      <c r="J101" s="10" t="str">
        <f>'1a FASE'!J102</f>
        <v>Atalanta</v>
      </c>
      <c r="K101" s="10" t="str">
        <f>'1a FASE'!K102</f>
        <v>Chelsea</v>
      </c>
      <c r="L101" s="10" t="str">
        <f>'1a FASE'!L102</f>
        <v>Chelsea</v>
      </c>
      <c r="M101" s="10" t="str">
        <f>'1a FASE'!M102</f>
        <v>Chelsea</v>
      </c>
      <c r="N101" s="10" t="str">
        <f>'1a FASE'!N102</f>
        <v>Chelsea</v>
      </c>
      <c r="O101" s="10" t="str">
        <f>'1a FASE'!O102</f>
        <v>Chelsea</v>
      </c>
      <c r="P101" s="10" t="str">
        <f>'1a FASE'!P102</f>
        <v>Chelsea</v>
      </c>
      <c r="Q101" s="10" t="str">
        <f>'1a FASE'!Q102</f>
        <v>Empate</v>
      </c>
      <c r="R101" s="10" t="str">
        <f>'1a FASE'!R102</f>
        <v>Chelsea</v>
      </c>
      <c r="S101" s="10" t="str">
        <f>'1a FASE'!S102</f>
        <v>Chelsea</v>
      </c>
      <c r="T101" s="10" t="str">
        <f>'1a FASE'!T102</f>
        <v>Atalanta</v>
      </c>
      <c r="U101" s="10" t="str">
        <f>'1a FASE'!U102</f>
        <v>Empate</v>
      </c>
      <c r="V101" s="10" t="str">
        <f>'1a FASE'!V102</f>
        <v>Chelsea</v>
      </c>
      <c r="W101" s="10" t="str">
        <f>'1a FASE'!W102</f>
        <v>Chelsea</v>
      </c>
      <c r="X101" s="10">
        <f>+IF(C101=$B101,Pesos!$L$3,0)*IF(COUNTIF($C101:$W101,C101)=1,2,1)</f>
        <v>0</v>
      </c>
      <c r="Y101" s="10">
        <f>+IF(D101=$B101,Pesos!$L$3,0)*IF(COUNTIF($C101:$W101,D101)=1,2,1)</f>
        <v>0</v>
      </c>
      <c r="Z101" s="10">
        <f>+IF(E101=$B101,Pesos!$L$3,0)*IF(COUNTIF($C101:$W101,E101)=1,2,1)</f>
        <v>0</v>
      </c>
      <c r="AA101" s="10">
        <f>+IF(F101=$B101,Pesos!$L$3,0)*IF(COUNTIF($C101:$W101,F101)=1,2,1)</f>
        <v>0</v>
      </c>
      <c r="AB101" s="10">
        <f>+IF(G101=$B101,Pesos!$L$3,0)*IF(COUNTIF($C101:$W101,G101)=1,2,1)</f>
        <v>0</v>
      </c>
      <c r="AC101" s="10">
        <f>+IF(H101=$B101,Pesos!$L$3,0)*IF(COUNTIF($C101:$W101,H101)=1,2,1)</f>
        <v>0</v>
      </c>
      <c r="AD101" s="10">
        <f>+IF(I101=$B101,Pesos!$L$3,0)*IF(COUNTIF($C101:$W101,I101)=1,2,1)</f>
        <v>0</v>
      </c>
      <c r="AE101" s="10">
        <f>+IF(J101=$B101,Pesos!$L$3,0)*IF(COUNTIF($C101:$W101,J101)=1,2,1)</f>
        <v>0.85</v>
      </c>
      <c r="AF101" s="10">
        <f>+IF(K101=$B101,Pesos!$L$3,0)*IF(COUNTIF($C101:$W101,K101)=1,2,1)</f>
        <v>0</v>
      </c>
      <c r="AG101" s="10">
        <f>+IF(L101=$B101,Pesos!$L$3,0)*IF(COUNTIF($C101:$W101,L101)=1,2,1)</f>
        <v>0</v>
      </c>
      <c r="AH101" s="10">
        <f>+IF(M101=$B101,Pesos!$L$3,0)*IF(COUNTIF($C101:$W101,M101)=1,2,1)</f>
        <v>0</v>
      </c>
      <c r="AI101" s="10">
        <f>+IF(N101=$B101,Pesos!$L$3,0)*IF(COUNTIF($C101:$W101,N101)=1,2,1)</f>
        <v>0</v>
      </c>
      <c r="AJ101" s="10">
        <f>+IF(O101=$B101,Pesos!$L$3,0)*IF(COUNTIF($C101:$W101,O101)=1,2,1)</f>
        <v>0</v>
      </c>
      <c r="AK101" s="10">
        <f>+IF(P101=$B101,Pesos!$L$3,0)*IF(COUNTIF($C101:$W101,P101)=1,2,1)</f>
        <v>0</v>
      </c>
      <c r="AL101" s="10">
        <f>+IF(Q101=$B101,Pesos!$L$3,0)*IF(COUNTIF($C101:$W101,Q101)=1,2,1)</f>
        <v>0</v>
      </c>
      <c r="AM101" s="10">
        <f>+IF(R101=$B101,Pesos!$L$3,0)*IF(COUNTIF($C101:$W101,R101)=1,2,1)</f>
        <v>0</v>
      </c>
      <c r="AN101" s="10">
        <f>+IF(S101=$B101,Pesos!$L$3,0)*IF(COUNTIF($C101:$W101,S101)=1,2,1)</f>
        <v>0</v>
      </c>
      <c r="AO101" s="10">
        <f>+IF(T101=$B101,Pesos!$L$3,0)*IF(COUNTIF($C101:$W101,T101)=1,2,1)</f>
        <v>0.85</v>
      </c>
      <c r="AP101" s="10">
        <f>+IF(U101=$B101,Pesos!$L$3,0)*IF(COUNTIF($C101:$W101,U101)=1,2,1)</f>
        <v>0</v>
      </c>
      <c r="AQ101" s="10">
        <f>+IF(V101=$B101,Pesos!$L$3,0)*IF(COUNTIF($C101:$W101,V101)=1,2,1)</f>
        <v>0</v>
      </c>
      <c r="AR101" s="10">
        <f>+IF(W101=$B101,Pesos!$L$3,0)*IF(COUNTIF($C101:$W101,W101)=1,2,1)</f>
        <v>0</v>
      </c>
    </row>
    <row r="102" ht="12.75" customHeight="1">
      <c r="A102" s="1" t="str">
        <f>'1a FASE'!A103</f>
        <v>Machtday 6</v>
      </c>
      <c r="B102" s="8" t="str">
        <f>'1a FASE'!B103</f>
        <v>Tottenham</v>
      </c>
      <c r="C102" s="11" t="str">
        <f>'1a FASE'!C103</f>
        <v>Tottenham</v>
      </c>
      <c r="D102" s="11" t="str">
        <f>'1a FASE'!D103</f>
        <v>Tottenham</v>
      </c>
      <c r="E102" s="11" t="str">
        <f>'1a FASE'!E103</f>
        <v>Tottenham</v>
      </c>
      <c r="F102" s="11" t="str">
        <f>'1a FASE'!F103</f>
        <v>Tottenham</v>
      </c>
      <c r="G102" s="11" t="str">
        <f>'1a FASE'!G103</f>
        <v>Tottenham</v>
      </c>
      <c r="H102" s="11" t="str">
        <f>'1a FASE'!H103</f>
        <v>Tottenham</v>
      </c>
      <c r="I102" s="11" t="str">
        <f>'1a FASE'!I103</f>
        <v>Tottenham</v>
      </c>
      <c r="J102" s="11" t="str">
        <f>'1a FASE'!J103</f>
        <v>Tottenham</v>
      </c>
      <c r="K102" s="11" t="str">
        <f>'1a FASE'!K103</f>
        <v>Tottenham</v>
      </c>
      <c r="L102" s="11" t="str">
        <f>'1a FASE'!L103</f>
        <v>Tottenham</v>
      </c>
      <c r="M102" s="11" t="str">
        <f>'1a FASE'!M103</f>
        <v>Tottenham</v>
      </c>
      <c r="N102" s="11" t="str">
        <f>'1a FASE'!N103</f>
        <v>Tottenham</v>
      </c>
      <c r="O102" s="11" t="str">
        <f>'1a FASE'!O103</f>
        <v>Tottenham</v>
      </c>
      <c r="P102" s="11" t="str">
        <f>'1a FASE'!P103</f>
        <v>Tottenham</v>
      </c>
      <c r="Q102" s="11" t="str">
        <f>'1a FASE'!Q103</f>
        <v>Tottenham</v>
      </c>
      <c r="R102" s="11" t="str">
        <f>'1a FASE'!R103</f>
        <v>Tottenham</v>
      </c>
      <c r="S102" s="11" t="str">
        <f>'1a FASE'!S103</f>
        <v>Tottenham</v>
      </c>
      <c r="T102" s="11" t="str">
        <f>'1a FASE'!T103</f>
        <v>Tottenham</v>
      </c>
      <c r="U102" s="11" t="str">
        <f>'1a FASE'!U103</f>
        <v>Tottenham</v>
      </c>
      <c r="V102" s="11" t="str">
        <f>'1a FASE'!V103</f>
        <v>Tottenham</v>
      </c>
      <c r="W102" s="11" t="str">
        <f>'1a FASE'!W103</f>
        <v>Tottenham</v>
      </c>
      <c r="X102" s="11">
        <f>+IF(C102=$B102,Pesos!$L$3,0)*IF(COUNTIF($C102:$W102,C102)=1,2,1)</f>
        <v>0.85</v>
      </c>
      <c r="Y102" s="11">
        <f>+IF(D102=$B102,Pesos!$L$3,0)*IF(COUNTIF($C102:$W102,D102)=1,2,1)</f>
        <v>0.85</v>
      </c>
      <c r="Z102" s="11">
        <f>+IF(E102=$B102,Pesos!$L$3,0)*IF(COUNTIF($C102:$W102,E102)=1,2,1)</f>
        <v>0.85</v>
      </c>
      <c r="AA102" s="11">
        <f>+IF(F102=$B102,Pesos!$L$3,0)*IF(COUNTIF($C102:$W102,F102)=1,2,1)</f>
        <v>0.85</v>
      </c>
      <c r="AB102" s="11">
        <f>+IF(G102=$B102,Pesos!$L$3,0)*IF(COUNTIF($C102:$W102,G102)=1,2,1)</f>
        <v>0.85</v>
      </c>
      <c r="AC102" s="11">
        <f>+IF(H102=$B102,Pesos!$L$3,0)*IF(COUNTIF($C102:$W102,H102)=1,2,1)</f>
        <v>0.85</v>
      </c>
      <c r="AD102" s="11">
        <f>+IF(I102=$B102,Pesos!$L$3,0)*IF(COUNTIF($C102:$W102,I102)=1,2,1)</f>
        <v>0.85</v>
      </c>
      <c r="AE102" s="11">
        <f>+IF(J102=$B102,Pesos!$L$3,0)*IF(COUNTIF($C102:$W102,J102)=1,2,1)</f>
        <v>0.85</v>
      </c>
      <c r="AF102" s="11">
        <f>+IF(K102=$B102,Pesos!$L$3,0)*IF(COUNTIF($C102:$W102,K102)=1,2,1)</f>
        <v>0.85</v>
      </c>
      <c r="AG102" s="11">
        <f>+IF(L102=$B102,Pesos!$L$3,0)*IF(COUNTIF($C102:$W102,L102)=1,2,1)</f>
        <v>0.85</v>
      </c>
      <c r="AH102" s="11">
        <f>+IF(M102=$B102,Pesos!$L$3,0)*IF(COUNTIF($C102:$W102,M102)=1,2,1)</f>
        <v>0.85</v>
      </c>
      <c r="AI102" s="11">
        <f>+IF(N102=$B102,Pesos!$L$3,0)*IF(COUNTIF($C102:$W102,N102)=1,2,1)</f>
        <v>0.85</v>
      </c>
      <c r="AJ102" s="11">
        <f>+IF(O102=$B102,Pesos!$L$3,0)*IF(COUNTIF($C102:$W102,O102)=1,2,1)</f>
        <v>0.85</v>
      </c>
      <c r="AK102" s="11">
        <f>+IF(P102=$B102,Pesos!$L$3,0)*IF(COUNTIF($C102:$W102,P102)=1,2,1)</f>
        <v>0.85</v>
      </c>
      <c r="AL102" s="11">
        <f>+IF(Q102=$B102,Pesos!$L$3,0)*IF(COUNTIF($C102:$W102,Q102)=1,2,1)</f>
        <v>0.85</v>
      </c>
      <c r="AM102" s="11">
        <f>+IF(R102=$B102,Pesos!$L$3,0)*IF(COUNTIF($C102:$W102,R102)=1,2,1)</f>
        <v>0.85</v>
      </c>
      <c r="AN102" s="11">
        <f>+IF(S102=$B102,Pesos!$L$3,0)*IF(COUNTIF($C102:$W102,S102)=1,2,1)</f>
        <v>0.85</v>
      </c>
      <c r="AO102" s="11">
        <f>+IF(T102=$B102,Pesos!$L$3,0)*IF(COUNTIF($C102:$W102,T102)=1,2,1)</f>
        <v>0.85</v>
      </c>
      <c r="AP102" s="11">
        <f>+IF(U102=$B102,Pesos!$L$3,0)*IF(COUNTIF($C102:$W102,U102)=1,2,1)</f>
        <v>0.85</v>
      </c>
      <c r="AQ102" s="11">
        <f>+IF(V102=$B102,Pesos!$L$3,0)*IF(COUNTIF($C102:$W102,V102)=1,2,1)</f>
        <v>0.85</v>
      </c>
      <c r="AR102" s="11">
        <f>+IF(W102=$B102,Pesos!$L$3,0)*IF(COUNTIF($C102:$W102,W102)=1,2,1)</f>
        <v>0.85</v>
      </c>
    </row>
    <row r="103" ht="12.75" customHeight="1">
      <c r="A103" s="1" t="str">
        <f>'1a FASE'!A104</f>
        <v>Machtday 6</v>
      </c>
      <c r="B103" s="8" t="str">
        <f>'1a FASE'!B104</f>
        <v>Atlético de Madrid</v>
      </c>
      <c r="C103" s="10" t="str">
        <f>'1a FASE'!C104</f>
        <v>Empate</v>
      </c>
      <c r="D103" s="10" t="str">
        <f>'1a FASE'!D104</f>
        <v>PSV Eindhoven</v>
      </c>
      <c r="E103" s="10" t="str">
        <f>'1a FASE'!E104</f>
        <v>Atlético de Madrid</v>
      </c>
      <c r="F103" s="10" t="str">
        <f>'1a FASE'!F104</f>
        <v>Atlético de Madrid</v>
      </c>
      <c r="G103" s="10" t="str">
        <f>'1a FASE'!G104</f>
        <v>Atlético de Madrid</v>
      </c>
      <c r="H103" s="10" t="str">
        <f>'1a FASE'!H104</f>
        <v>Atlético de Madrid</v>
      </c>
      <c r="I103" s="10" t="str">
        <f>'1a FASE'!I104</f>
        <v>Atlético de Madrid</v>
      </c>
      <c r="J103" s="10" t="str">
        <f>'1a FASE'!J104</f>
        <v>Empate</v>
      </c>
      <c r="K103" s="10" t="str">
        <f>'1a FASE'!K104</f>
        <v>Atlético de Madrid</v>
      </c>
      <c r="L103" s="10" t="str">
        <f>'1a FASE'!L104</f>
        <v>Atlético de Madrid</v>
      </c>
      <c r="M103" s="10" t="str">
        <f>'1a FASE'!M104</f>
        <v>PSV Eindhoven</v>
      </c>
      <c r="N103" s="10" t="str">
        <f>'1a FASE'!N104</f>
        <v>Atlético de Madrid</v>
      </c>
      <c r="O103" s="10" t="str">
        <f>'1a FASE'!O104</f>
        <v>Empate</v>
      </c>
      <c r="P103" s="10" t="str">
        <f>'1a FASE'!P104</f>
        <v>Atlético de Madrid</v>
      </c>
      <c r="Q103" s="10" t="str">
        <f>'1a FASE'!Q104</f>
        <v>PSV Eindhoven</v>
      </c>
      <c r="R103" s="10" t="str">
        <f>'1a FASE'!R104</f>
        <v>Atlético de Madrid</v>
      </c>
      <c r="S103" s="10" t="str">
        <f>'1a FASE'!S104</f>
        <v>Atlético de Madrid</v>
      </c>
      <c r="T103" s="10" t="str">
        <f>'1a FASE'!T104</f>
        <v>PSV Eindhoven</v>
      </c>
      <c r="U103" s="10" t="str">
        <f>'1a FASE'!U104</f>
        <v>Atlético de Madrid</v>
      </c>
      <c r="V103" s="10" t="str">
        <f>'1a FASE'!V104</f>
        <v>Atlético de Madrid</v>
      </c>
      <c r="W103" s="10" t="str">
        <f>'1a FASE'!W104</f>
        <v>Atlético de Madrid</v>
      </c>
      <c r="X103" s="10">
        <f>+IF(C103=$B103,Pesos!$L$3,0)*IF(COUNTIF($C103:$W103,C103)=1,2,1)</f>
        <v>0</v>
      </c>
      <c r="Y103" s="10">
        <f>+IF(D103=$B103,Pesos!$L$3,0)*IF(COUNTIF($C103:$W103,D103)=1,2,1)</f>
        <v>0</v>
      </c>
      <c r="Z103" s="10">
        <f>+IF(E103=$B103,Pesos!$L$3,0)*IF(COUNTIF($C103:$W103,E103)=1,2,1)</f>
        <v>0.85</v>
      </c>
      <c r="AA103" s="10">
        <f>+IF(F103=$B103,Pesos!$L$3,0)*IF(COUNTIF($C103:$W103,F103)=1,2,1)</f>
        <v>0.85</v>
      </c>
      <c r="AB103" s="10">
        <f>+IF(G103=$B103,Pesos!$L$3,0)*IF(COUNTIF($C103:$W103,G103)=1,2,1)</f>
        <v>0.85</v>
      </c>
      <c r="AC103" s="10">
        <f>+IF(H103=$B103,Pesos!$L$3,0)*IF(COUNTIF($C103:$W103,H103)=1,2,1)</f>
        <v>0.85</v>
      </c>
      <c r="AD103" s="10">
        <f>+IF(I103=$B103,Pesos!$L$3,0)*IF(COUNTIF($C103:$W103,I103)=1,2,1)</f>
        <v>0.85</v>
      </c>
      <c r="AE103" s="10">
        <f>+IF(J103=$B103,Pesos!$L$3,0)*IF(COUNTIF($C103:$W103,J103)=1,2,1)</f>
        <v>0</v>
      </c>
      <c r="AF103" s="10">
        <f>+IF(K103=$B103,Pesos!$L$3,0)*IF(COUNTIF($C103:$W103,K103)=1,2,1)</f>
        <v>0.85</v>
      </c>
      <c r="AG103" s="10">
        <f>+IF(L103=$B103,Pesos!$L$3,0)*IF(COUNTIF($C103:$W103,L103)=1,2,1)</f>
        <v>0.85</v>
      </c>
      <c r="AH103" s="10">
        <f>+IF(M103=$B103,Pesos!$L$3,0)*IF(COUNTIF($C103:$W103,M103)=1,2,1)</f>
        <v>0</v>
      </c>
      <c r="AI103" s="10">
        <f>+IF(N103=$B103,Pesos!$L$3,0)*IF(COUNTIF($C103:$W103,N103)=1,2,1)</f>
        <v>0.85</v>
      </c>
      <c r="AJ103" s="10">
        <f>+IF(O103=$B103,Pesos!$L$3,0)*IF(COUNTIF($C103:$W103,O103)=1,2,1)</f>
        <v>0</v>
      </c>
      <c r="AK103" s="10">
        <f>+IF(P103=$B103,Pesos!$L$3,0)*IF(COUNTIF($C103:$W103,P103)=1,2,1)</f>
        <v>0.85</v>
      </c>
      <c r="AL103" s="10">
        <f>+IF(Q103=$B103,Pesos!$L$3,0)*IF(COUNTIF($C103:$W103,Q103)=1,2,1)</f>
        <v>0</v>
      </c>
      <c r="AM103" s="10">
        <f>+IF(R103=$B103,Pesos!$L$3,0)*IF(COUNTIF($C103:$W103,R103)=1,2,1)</f>
        <v>0.85</v>
      </c>
      <c r="AN103" s="10">
        <f>+IF(S103=$B103,Pesos!$L$3,0)*IF(COUNTIF($C103:$W103,S103)=1,2,1)</f>
        <v>0.85</v>
      </c>
      <c r="AO103" s="10">
        <f>+IF(T103=$B103,Pesos!$L$3,0)*IF(COUNTIF($C103:$W103,T103)=1,2,1)</f>
        <v>0</v>
      </c>
      <c r="AP103" s="10">
        <f>+IF(U103=$B103,Pesos!$L$3,0)*IF(COUNTIF($C103:$W103,U103)=1,2,1)</f>
        <v>0.85</v>
      </c>
      <c r="AQ103" s="10">
        <f>+IF(V103=$B103,Pesos!$L$3,0)*IF(COUNTIF($C103:$W103,V103)=1,2,1)</f>
        <v>0.85</v>
      </c>
      <c r="AR103" s="10">
        <f>+IF(W103=$B103,Pesos!$L$3,0)*IF(COUNTIF($C103:$W103,W103)=1,2,1)</f>
        <v>0.85</v>
      </c>
    </row>
    <row r="104" ht="12.75" customHeight="1">
      <c r="A104" s="1" t="str">
        <f>'1a FASE'!A105</f>
        <v>Machtday 6</v>
      </c>
      <c r="B104" s="8" t="str">
        <f>'1a FASE'!B105</f>
        <v>Monaco</v>
      </c>
      <c r="C104" s="11" t="str">
        <f>'1a FASE'!C105</f>
        <v>Monaco</v>
      </c>
      <c r="D104" s="11" t="str">
        <f>'1a FASE'!D105</f>
        <v>Monaco</v>
      </c>
      <c r="E104" s="11" t="str">
        <f>'1a FASE'!E105</f>
        <v>Monaco</v>
      </c>
      <c r="F104" s="11" t="str">
        <f>'1a FASE'!F105</f>
        <v>Monaco</v>
      </c>
      <c r="G104" s="11" t="str">
        <f>'1a FASE'!G105</f>
        <v>Monaco</v>
      </c>
      <c r="H104" s="11" t="str">
        <f>'1a FASE'!H105</f>
        <v>Monaco</v>
      </c>
      <c r="I104" s="11" t="str">
        <f>'1a FASE'!I105</f>
        <v>Galatasaray</v>
      </c>
      <c r="J104" s="11" t="str">
        <f>'1a FASE'!J105</f>
        <v>Monaco</v>
      </c>
      <c r="K104" s="11" t="str">
        <f>'1a FASE'!K105</f>
        <v>Galatasaray</v>
      </c>
      <c r="L104" s="11" t="str">
        <f>'1a FASE'!L105</f>
        <v>Monaco</v>
      </c>
      <c r="M104" s="11" t="str">
        <f>'1a FASE'!M105</f>
        <v>Empate</v>
      </c>
      <c r="N104" s="11" t="str">
        <f>'1a FASE'!N105</f>
        <v>Monaco</v>
      </c>
      <c r="O104" s="11" t="str">
        <f>'1a FASE'!O105</f>
        <v>Galatasaray</v>
      </c>
      <c r="P104" s="11" t="str">
        <f>'1a FASE'!P105</f>
        <v>Monaco</v>
      </c>
      <c r="Q104" s="11" t="str">
        <f>'1a FASE'!Q105</f>
        <v>Monaco</v>
      </c>
      <c r="R104" s="11" t="str">
        <f>'1a FASE'!R105</f>
        <v>Monaco</v>
      </c>
      <c r="S104" s="11" t="str">
        <f>'1a FASE'!S105</f>
        <v>Empate</v>
      </c>
      <c r="T104" s="11" t="str">
        <f>'1a FASE'!T105</f>
        <v>Empate</v>
      </c>
      <c r="U104" s="11" t="str">
        <f>'1a FASE'!U105</f>
        <v>Empate</v>
      </c>
      <c r="V104" s="11" t="str">
        <f>'1a FASE'!V105</f>
        <v>Monaco</v>
      </c>
      <c r="W104" s="11" t="str">
        <f>'1a FASE'!W105</f>
        <v>Empate</v>
      </c>
      <c r="X104" s="11">
        <f>+IF(C104=$B104,Pesos!$L$3,0)*IF(COUNTIF($C104:$W104,C104)=1,2,1)</f>
        <v>0.85</v>
      </c>
      <c r="Y104" s="11">
        <f>+IF(D104=$B104,Pesos!$L$3,0)*IF(COUNTIF($C104:$W104,D104)=1,2,1)</f>
        <v>0.85</v>
      </c>
      <c r="Z104" s="11">
        <f>+IF(E104=$B104,Pesos!$L$3,0)*IF(COUNTIF($C104:$W104,E104)=1,2,1)</f>
        <v>0.85</v>
      </c>
      <c r="AA104" s="11">
        <f>+IF(F104=$B104,Pesos!$L$3,0)*IF(COUNTIF($C104:$W104,F104)=1,2,1)</f>
        <v>0.85</v>
      </c>
      <c r="AB104" s="11">
        <f>+IF(G104=$B104,Pesos!$L$3,0)*IF(COUNTIF($C104:$W104,G104)=1,2,1)</f>
        <v>0.85</v>
      </c>
      <c r="AC104" s="11">
        <f>+IF(H104=$B104,Pesos!$L$3,0)*IF(COUNTIF($C104:$W104,H104)=1,2,1)</f>
        <v>0.85</v>
      </c>
      <c r="AD104" s="11">
        <f>+IF(I104=$B104,Pesos!$L$3,0)*IF(COUNTIF($C104:$W104,I104)=1,2,1)</f>
        <v>0</v>
      </c>
      <c r="AE104" s="11">
        <f>+IF(J104=$B104,Pesos!$L$3,0)*IF(COUNTIF($C104:$W104,J104)=1,2,1)</f>
        <v>0.85</v>
      </c>
      <c r="AF104" s="11">
        <f>+IF(K104=$B104,Pesos!$L$3,0)*IF(COUNTIF($C104:$W104,K104)=1,2,1)</f>
        <v>0</v>
      </c>
      <c r="AG104" s="11">
        <f>+IF(L104=$B104,Pesos!$L$3,0)*IF(COUNTIF($C104:$W104,L104)=1,2,1)</f>
        <v>0.85</v>
      </c>
      <c r="AH104" s="11">
        <f>+IF(M104=$B104,Pesos!$L$3,0)*IF(COUNTIF($C104:$W104,M104)=1,2,1)</f>
        <v>0</v>
      </c>
      <c r="AI104" s="11">
        <f>+IF(N104=$B104,Pesos!$L$3,0)*IF(COUNTIF($C104:$W104,N104)=1,2,1)</f>
        <v>0.85</v>
      </c>
      <c r="AJ104" s="11">
        <f>+IF(O104=$B104,Pesos!$L$3,0)*IF(COUNTIF($C104:$W104,O104)=1,2,1)</f>
        <v>0</v>
      </c>
      <c r="AK104" s="11">
        <f>+IF(P104=$B104,Pesos!$L$3,0)*IF(COUNTIF($C104:$W104,P104)=1,2,1)</f>
        <v>0.85</v>
      </c>
      <c r="AL104" s="11">
        <f>+IF(Q104=$B104,Pesos!$L$3,0)*IF(COUNTIF($C104:$W104,Q104)=1,2,1)</f>
        <v>0.85</v>
      </c>
      <c r="AM104" s="11">
        <f>+IF(R104=$B104,Pesos!$L$3,0)*IF(COUNTIF($C104:$W104,R104)=1,2,1)</f>
        <v>0.85</v>
      </c>
      <c r="AN104" s="11">
        <f>+IF(S104=$B104,Pesos!$L$3,0)*IF(COUNTIF($C104:$W104,S104)=1,2,1)</f>
        <v>0</v>
      </c>
      <c r="AO104" s="11">
        <f>+IF(T104=$B104,Pesos!$L$3,0)*IF(COUNTIF($C104:$W104,T104)=1,2,1)</f>
        <v>0</v>
      </c>
      <c r="AP104" s="11">
        <f>+IF(U104=$B104,Pesos!$L$3,0)*IF(COUNTIF($C104:$W104,U104)=1,2,1)</f>
        <v>0</v>
      </c>
      <c r="AQ104" s="11">
        <f>+IF(V104=$B104,Pesos!$L$3,0)*IF(COUNTIF($C104:$W104,V104)=1,2,1)</f>
        <v>0.85</v>
      </c>
      <c r="AR104" s="11">
        <f>+IF(W104=$B104,Pesos!$L$3,0)*IF(COUNTIF($C104:$W104,W104)=1,2,1)</f>
        <v>0</v>
      </c>
    </row>
    <row r="105" ht="12.75" customHeight="1">
      <c r="A105" s="1" t="str">
        <f>'1a FASE'!A106</f>
        <v>Machtday 6</v>
      </c>
      <c r="B105" s="8" t="str">
        <f>'1a FASE'!B106</f>
        <v>Olympique de Marselha</v>
      </c>
      <c r="C105" s="10" t="str">
        <f>'1a FASE'!C106</f>
        <v>Union Saint-Gilloise</v>
      </c>
      <c r="D105" s="10" t="str">
        <f>'1a FASE'!D106</f>
        <v>Olympique de Marselha</v>
      </c>
      <c r="E105" s="10" t="str">
        <f>'1a FASE'!E106</f>
        <v>Union Saint-Gilloise</v>
      </c>
      <c r="F105" s="10" t="str">
        <f>'1a FASE'!F106</f>
        <v>Empate</v>
      </c>
      <c r="G105" s="10" t="str">
        <f>'1a FASE'!G106</f>
        <v>Empate</v>
      </c>
      <c r="H105" s="10" t="str">
        <f>'1a FASE'!H106</f>
        <v>Union Saint-Gilloise</v>
      </c>
      <c r="I105" s="10" t="str">
        <f>'1a FASE'!I106</f>
        <v>Olympique de Marselha</v>
      </c>
      <c r="J105" s="10" t="str">
        <f>'1a FASE'!J106</f>
        <v>Olympique de Marselha</v>
      </c>
      <c r="K105" s="10" t="str">
        <f>'1a FASE'!K106</f>
        <v>Olympique de Marselha</v>
      </c>
      <c r="L105" s="10" t="str">
        <f>'1a FASE'!L106</f>
        <v>Olympique de Marselha</v>
      </c>
      <c r="M105" s="10" t="str">
        <f>'1a FASE'!M106</f>
        <v>Olympique de Marselha</v>
      </c>
      <c r="N105" s="10" t="str">
        <f>'1a FASE'!N106</f>
        <v>Olympique de Marselha</v>
      </c>
      <c r="O105" s="10" t="str">
        <f>'1a FASE'!O106</f>
        <v>Olympique de Marselha</v>
      </c>
      <c r="P105" s="10" t="str">
        <f>'1a FASE'!P106</f>
        <v>Empate</v>
      </c>
      <c r="Q105" s="10" t="str">
        <f>'1a FASE'!Q106</f>
        <v>Olympique de Marselha</v>
      </c>
      <c r="R105" s="10" t="str">
        <f>'1a FASE'!R106</f>
        <v>Union Saint-Gilloise</v>
      </c>
      <c r="S105" s="10" t="str">
        <f>'1a FASE'!S106</f>
        <v>Olympique de Marselha</v>
      </c>
      <c r="T105" s="10" t="str">
        <f>'1a FASE'!T106</f>
        <v>Olympique de Marselha</v>
      </c>
      <c r="U105" s="10" t="str">
        <f>'1a FASE'!U106</f>
        <v>Empate</v>
      </c>
      <c r="V105" s="10" t="str">
        <f>'1a FASE'!V106</f>
        <v>Union Saint-Gilloise</v>
      </c>
      <c r="W105" s="10" t="str">
        <f>'1a FASE'!W106</f>
        <v>Olympique de Marselha</v>
      </c>
      <c r="X105" s="10">
        <f>+IF(C105=$B105,Pesos!$L$3,0)*IF(COUNTIF($C105:$W105,C105)=1,2,1)</f>
        <v>0</v>
      </c>
      <c r="Y105" s="10">
        <f>+IF(D105=$B105,Pesos!$L$3,0)*IF(COUNTIF($C105:$W105,D105)=1,2,1)</f>
        <v>0.85</v>
      </c>
      <c r="Z105" s="10">
        <f>+IF(E105=$B105,Pesos!$L$3,0)*IF(COUNTIF($C105:$W105,E105)=1,2,1)</f>
        <v>0</v>
      </c>
      <c r="AA105" s="10">
        <f>+IF(F105=$B105,Pesos!$L$3,0)*IF(COUNTIF($C105:$W105,F105)=1,2,1)</f>
        <v>0</v>
      </c>
      <c r="AB105" s="10">
        <f>+IF(G105=$B105,Pesos!$L$3,0)*IF(COUNTIF($C105:$W105,G105)=1,2,1)</f>
        <v>0</v>
      </c>
      <c r="AC105" s="10">
        <f>+IF(H105=$B105,Pesos!$L$3,0)*IF(COUNTIF($C105:$W105,H105)=1,2,1)</f>
        <v>0</v>
      </c>
      <c r="AD105" s="10">
        <f>+IF(I105=$B105,Pesos!$L$3,0)*IF(COUNTIF($C105:$W105,I105)=1,2,1)</f>
        <v>0.85</v>
      </c>
      <c r="AE105" s="10">
        <f>+IF(J105=$B105,Pesos!$L$3,0)*IF(COUNTIF($C105:$W105,J105)=1,2,1)</f>
        <v>0.85</v>
      </c>
      <c r="AF105" s="10">
        <f>+IF(K105=$B105,Pesos!$L$3,0)*IF(COUNTIF($C105:$W105,K105)=1,2,1)</f>
        <v>0.85</v>
      </c>
      <c r="AG105" s="10">
        <f>+IF(L105=$B105,Pesos!$L$3,0)*IF(COUNTIF($C105:$W105,L105)=1,2,1)</f>
        <v>0.85</v>
      </c>
      <c r="AH105" s="10">
        <f>+IF(M105=$B105,Pesos!$L$3,0)*IF(COUNTIF($C105:$W105,M105)=1,2,1)</f>
        <v>0.85</v>
      </c>
      <c r="AI105" s="10">
        <f>+IF(N105=$B105,Pesos!$L$3,0)*IF(COUNTIF($C105:$W105,N105)=1,2,1)</f>
        <v>0.85</v>
      </c>
      <c r="AJ105" s="10">
        <f>+IF(O105=$B105,Pesos!$L$3,0)*IF(COUNTIF($C105:$W105,O105)=1,2,1)</f>
        <v>0.85</v>
      </c>
      <c r="AK105" s="10">
        <f>+IF(P105=$B105,Pesos!$L$3,0)*IF(COUNTIF($C105:$W105,P105)=1,2,1)</f>
        <v>0</v>
      </c>
      <c r="AL105" s="10">
        <f>+IF(Q105=$B105,Pesos!$L$3,0)*IF(COUNTIF($C105:$W105,Q105)=1,2,1)</f>
        <v>0.85</v>
      </c>
      <c r="AM105" s="10">
        <f>+IF(R105=$B105,Pesos!$L$3,0)*IF(COUNTIF($C105:$W105,R105)=1,2,1)</f>
        <v>0</v>
      </c>
      <c r="AN105" s="10">
        <f>+IF(S105=$B105,Pesos!$L$3,0)*IF(COUNTIF($C105:$W105,S105)=1,2,1)</f>
        <v>0.85</v>
      </c>
      <c r="AO105" s="10">
        <f>+IF(T105=$B105,Pesos!$L$3,0)*IF(COUNTIF($C105:$W105,T105)=1,2,1)</f>
        <v>0.85</v>
      </c>
      <c r="AP105" s="10">
        <f>+IF(U105=$B105,Pesos!$L$3,0)*IF(COUNTIF($C105:$W105,U105)=1,2,1)</f>
        <v>0</v>
      </c>
      <c r="AQ105" s="10">
        <f>+IF(V105=$B105,Pesos!$L$3,0)*IF(COUNTIF($C105:$W105,V105)=1,2,1)</f>
        <v>0</v>
      </c>
      <c r="AR105" s="10">
        <f>+IF(W105=$B105,Pesos!$L$3,0)*IF(COUNTIF($C105:$W105,W105)=1,2,1)</f>
        <v>0.85</v>
      </c>
    </row>
    <row r="106" ht="12.75" customHeight="1">
      <c r="A106" s="1" t="str">
        <f>'1a FASE'!A107</f>
        <v>Machtday 6</v>
      </c>
      <c r="B106" s="8" t="str">
        <f>'1a FASE'!B107</f>
        <v>Copenhagen</v>
      </c>
      <c r="C106" s="11" t="str">
        <f>'1a FASE'!C107</f>
        <v>Villarreal</v>
      </c>
      <c r="D106" s="11" t="str">
        <f>'1a FASE'!D107</f>
        <v>Villarreal</v>
      </c>
      <c r="E106" s="11" t="str">
        <f>'1a FASE'!E107</f>
        <v>Copenhagen</v>
      </c>
      <c r="F106" s="11" t="str">
        <f>'1a FASE'!F107</f>
        <v>Empate</v>
      </c>
      <c r="G106" s="11" t="str">
        <f>'1a FASE'!G107</f>
        <v>Villarreal</v>
      </c>
      <c r="H106" s="11" t="str">
        <f>'1a FASE'!H107</f>
        <v>Villarreal</v>
      </c>
      <c r="I106" s="11" t="str">
        <f>'1a FASE'!I107</f>
        <v>Villarreal</v>
      </c>
      <c r="J106" s="11" t="str">
        <f>'1a FASE'!J107</f>
        <v>Villarreal</v>
      </c>
      <c r="K106" s="11" t="str">
        <f>'1a FASE'!K107</f>
        <v>Villarreal</v>
      </c>
      <c r="L106" s="11" t="str">
        <f>'1a FASE'!L107</f>
        <v>Villarreal</v>
      </c>
      <c r="M106" s="11" t="str">
        <f>'1a FASE'!M107</f>
        <v>Villarreal</v>
      </c>
      <c r="N106" s="11" t="str">
        <f>'1a FASE'!N107</f>
        <v>Villarreal</v>
      </c>
      <c r="O106" s="11" t="str">
        <f>'1a FASE'!O107</f>
        <v>Villarreal</v>
      </c>
      <c r="P106" s="11" t="str">
        <f>'1a FASE'!P107</f>
        <v>Villarreal</v>
      </c>
      <c r="Q106" s="11" t="str">
        <f>'1a FASE'!Q107</f>
        <v>Villarreal</v>
      </c>
      <c r="R106" s="11" t="str">
        <f>'1a FASE'!R107</f>
        <v>Villarreal</v>
      </c>
      <c r="S106" s="11" t="str">
        <f>'1a FASE'!S107</f>
        <v>Empate</v>
      </c>
      <c r="T106" s="11" t="str">
        <f>'1a FASE'!T107</f>
        <v>Villarreal</v>
      </c>
      <c r="U106" s="11" t="str">
        <f>'1a FASE'!U107</f>
        <v>Villarreal</v>
      </c>
      <c r="V106" s="11" t="str">
        <f>'1a FASE'!V107</f>
        <v>Empate</v>
      </c>
      <c r="W106" s="11" t="str">
        <f>'1a FASE'!W107</f>
        <v>Villarreal</v>
      </c>
      <c r="X106" s="11">
        <f>+IF(C106=$B106,Pesos!$L$3,0)*IF(COUNTIF($C106:$W106,C106)=1,2,1)</f>
        <v>0</v>
      </c>
      <c r="Y106" s="11">
        <f>+IF(D106=$B106,Pesos!$L$3,0)*IF(COUNTIF($C106:$W106,D106)=1,2,1)</f>
        <v>0</v>
      </c>
      <c r="Z106" s="11">
        <f>+IF(E106=$B106,Pesos!$L$3,0)*IF(COUNTIF($C106:$W106,E106)=1,2,1)</f>
        <v>1.7</v>
      </c>
      <c r="AA106" s="11">
        <f>+IF(F106=$B106,Pesos!$L$3,0)*IF(COUNTIF($C106:$W106,F106)=1,2,1)</f>
        <v>0</v>
      </c>
      <c r="AB106" s="11">
        <f>+IF(G106=$B106,Pesos!$L$3,0)*IF(COUNTIF($C106:$W106,G106)=1,2,1)</f>
        <v>0</v>
      </c>
      <c r="AC106" s="11">
        <f>+IF(H106=$B106,Pesos!$L$3,0)*IF(COUNTIF($C106:$W106,H106)=1,2,1)</f>
        <v>0</v>
      </c>
      <c r="AD106" s="11">
        <f>+IF(I106=$B106,Pesos!$L$3,0)*IF(COUNTIF($C106:$W106,I106)=1,2,1)</f>
        <v>0</v>
      </c>
      <c r="AE106" s="11">
        <f>+IF(J106=$B106,Pesos!$L$3,0)*IF(COUNTIF($C106:$W106,J106)=1,2,1)</f>
        <v>0</v>
      </c>
      <c r="AF106" s="11">
        <f>+IF(K106=$B106,Pesos!$L$3,0)*IF(COUNTIF($C106:$W106,K106)=1,2,1)</f>
        <v>0</v>
      </c>
      <c r="AG106" s="11">
        <f>+IF(L106=$B106,Pesos!$L$3,0)*IF(COUNTIF($C106:$W106,L106)=1,2,1)</f>
        <v>0</v>
      </c>
      <c r="AH106" s="11">
        <f>+IF(M106=$B106,Pesos!$L$3,0)*IF(COUNTIF($C106:$W106,M106)=1,2,1)</f>
        <v>0</v>
      </c>
      <c r="AI106" s="11">
        <f>+IF(N106=$B106,Pesos!$L$3,0)*IF(COUNTIF($C106:$W106,N106)=1,2,1)</f>
        <v>0</v>
      </c>
      <c r="AJ106" s="11">
        <f>+IF(O106=$B106,Pesos!$L$3,0)*IF(COUNTIF($C106:$W106,O106)=1,2,1)</f>
        <v>0</v>
      </c>
      <c r="AK106" s="11">
        <f>+IF(P106=$B106,Pesos!$L$3,0)*IF(COUNTIF($C106:$W106,P106)=1,2,1)</f>
        <v>0</v>
      </c>
      <c r="AL106" s="11">
        <f>+IF(Q106=$B106,Pesos!$L$3,0)*IF(COUNTIF($C106:$W106,Q106)=1,2,1)</f>
        <v>0</v>
      </c>
      <c r="AM106" s="11">
        <f>+IF(R106=$B106,Pesos!$L$3,0)*IF(COUNTIF($C106:$W106,R106)=1,2,1)</f>
        <v>0</v>
      </c>
      <c r="AN106" s="11">
        <f>+IF(S106=$B106,Pesos!$L$3,0)*IF(COUNTIF($C106:$W106,S106)=1,2,1)</f>
        <v>0</v>
      </c>
      <c r="AO106" s="11">
        <f>+IF(T106=$B106,Pesos!$L$3,0)*IF(COUNTIF($C106:$W106,T106)=1,2,1)</f>
        <v>0</v>
      </c>
      <c r="AP106" s="11">
        <f>+IF(U106=$B106,Pesos!$L$3,0)*IF(COUNTIF($C106:$W106,U106)=1,2,1)</f>
        <v>0</v>
      </c>
      <c r="AQ106" s="11">
        <f>+IF(V106=$B106,Pesos!$L$3,0)*IF(COUNTIF($C106:$W106,V106)=1,2,1)</f>
        <v>0</v>
      </c>
      <c r="AR106" s="11">
        <f>+IF(W106=$B106,Pesos!$L$3,0)*IF(COUNTIF($C106:$W106,W106)=1,2,1)</f>
        <v>0</v>
      </c>
    </row>
    <row r="107" ht="12.75" customHeight="1">
      <c r="A107" s="1" t="str">
        <f>'1a FASE'!A108</f>
        <v>Machtday 6</v>
      </c>
      <c r="B107" s="8" t="str">
        <f>'1a FASE'!B108</f>
        <v>Ajax</v>
      </c>
      <c r="C107" s="10" t="str">
        <f>'1a FASE'!C108</f>
        <v>Ajax</v>
      </c>
      <c r="D107" s="10" t="str">
        <f>'1a FASE'!D108</f>
        <v>Ajax</v>
      </c>
      <c r="E107" s="10" t="str">
        <f>'1a FASE'!E108</f>
        <v>Ajax</v>
      </c>
      <c r="F107" s="10" t="str">
        <f>'1a FASE'!F108</f>
        <v>Ajax</v>
      </c>
      <c r="G107" s="10" t="str">
        <f>'1a FASE'!G108</f>
        <v>Ajax</v>
      </c>
      <c r="H107" s="10" t="str">
        <f>'1a FASE'!H108</f>
        <v>Qarabag</v>
      </c>
      <c r="I107" s="10" t="str">
        <f>'1a FASE'!I108</f>
        <v>Ajax</v>
      </c>
      <c r="J107" s="10" t="str">
        <f>'1a FASE'!J108</f>
        <v>Ajax</v>
      </c>
      <c r="K107" s="10" t="str">
        <f>'1a FASE'!K108</f>
        <v>Qarabag</v>
      </c>
      <c r="L107" s="10" t="str">
        <f>'1a FASE'!L108</f>
        <v>Ajax</v>
      </c>
      <c r="M107" s="10" t="str">
        <f>'1a FASE'!M108</f>
        <v>Ajax</v>
      </c>
      <c r="N107" s="10" t="str">
        <f>'1a FASE'!N108</f>
        <v>Ajax</v>
      </c>
      <c r="O107" s="10" t="str">
        <f>'1a FASE'!O108</f>
        <v>Ajax</v>
      </c>
      <c r="P107" s="10" t="str">
        <f>'1a FASE'!P108</f>
        <v>Ajax</v>
      </c>
      <c r="Q107" s="10" t="str">
        <f>'1a FASE'!Q108</f>
        <v>Empate</v>
      </c>
      <c r="R107" s="10" t="str">
        <f>'1a FASE'!R108</f>
        <v>Ajax</v>
      </c>
      <c r="S107" s="10" t="str">
        <f>'1a FASE'!S108</f>
        <v>Empate</v>
      </c>
      <c r="T107" s="10" t="str">
        <f>'1a FASE'!T108</f>
        <v>Ajax</v>
      </c>
      <c r="U107" s="10" t="str">
        <f>'1a FASE'!U108</f>
        <v>Empate</v>
      </c>
      <c r="V107" s="10" t="str">
        <f>'1a FASE'!V108</f>
        <v>Ajax</v>
      </c>
      <c r="W107" s="10" t="str">
        <f>'1a FASE'!W108</f>
        <v>Ajax</v>
      </c>
      <c r="X107" s="10">
        <f>+IF(C107=$B107,Pesos!$L$3,0)*IF(COUNTIF($C107:$W107,C107)=1,2,1)</f>
        <v>0.85</v>
      </c>
      <c r="Y107" s="10">
        <f>+IF(D107=$B107,Pesos!$L$3,0)*IF(COUNTIF($C107:$W107,D107)=1,2,1)</f>
        <v>0.85</v>
      </c>
      <c r="Z107" s="10">
        <f>+IF(E107=$B107,Pesos!$L$3,0)*IF(COUNTIF($C107:$W107,E107)=1,2,1)</f>
        <v>0.85</v>
      </c>
      <c r="AA107" s="10">
        <f>+IF(F107=$B107,Pesos!$L$3,0)*IF(COUNTIF($C107:$W107,F107)=1,2,1)</f>
        <v>0.85</v>
      </c>
      <c r="AB107" s="10">
        <f>+IF(G107=$B107,Pesos!$L$3,0)*IF(COUNTIF($C107:$W107,G107)=1,2,1)</f>
        <v>0.85</v>
      </c>
      <c r="AC107" s="10">
        <f>+IF(H107=$B107,Pesos!$L$3,0)*IF(COUNTIF($C107:$W107,H107)=1,2,1)</f>
        <v>0</v>
      </c>
      <c r="AD107" s="10">
        <f>+IF(I107=$B107,Pesos!$L$3,0)*IF(COUNTIF($C107:$W107,I107)=1,2,1)</f>
        <v>0.85</v>
      </c>
      <c r="AE107" s="10">
        <f>+IF(J107=$B107,Pesos!$L$3,0)*IF(COUNTIF($C107:$W107,J107)=1,2,1)</f>
        <v>0.85</v>
      </c>
      <c r="AF107" s="10">
        <f>+IF(K107=$B107,Pesos!$L$3,0)*IF(COUNTIF($C107:$W107,K107)=1,2,1)</f>
        <v>0</v>
      </c>
      <c r="AG107" s="10">
        <f>+IF(L107=$B107,Pesos!$L$3,0)*IF(COUNTIF($C107:$W107,L107)=1,2,1)</f>
        <v>0.85</v>
      </c>
      <c r="AH107" s="10">
        <f>+IF(M107=$B107,Pesos!$L$3,0)*IF(COUNTIF($C107:$W107,M107)=1,2,1)</f>
        <v>0.85</v>
      </c>
      <c r="AI107" s="10">
        <f>+IF(N107=$B107,Pesos!$L$3,0)*IF(COUNTIF($C107:$W107,N107)=1,2,1)</f>
        <v>0.85</v>
      </c>
      <c r="AJ107" s="10">
        <f>+IF(O107=$B107,Pesos!$L$3,0)*IF(COUNTIF($C107:$W107,O107)=1,2,1)</f>
        <v>0.85</v>
      </c>
      <c r="AK107" s="10">
        <f>+IF(P107=$B107,Pesos!$L$3,0)*IF(COUNTIF($C107:$W107,P107)=1,2,1)</f>
        <v>0.85</v>
      </c>
      <c r="AL107" s="10">
        <f>+IF(Q107=$B107,Pesos!$L$3,0)*IF(COUNTIF($C107:$W107,Q107)=1,2,1)</f>
        <v>0</v>
      </c>
      <c r="AM107" s="10">
        <f>+IF(R107=$B107,Pesos!$L$3,0)*IF(COUNTIF($C107:$W107,R107)=1,2,1)</f>
        <v>0.85</v>
      </c>
      <c r="AN107" s="10">
        <f>+IF(S107=$B107,Pesos!$L$3,0)*IF(COUNTIF($C107:$W107,S107)=1,2,1)</f>
        <v>0</v>
      </c>
      <c r="AO107" s="10">
        <f>+IF(T107=$B107,Pesos!$L$3,0)*IF(COUNTIF($C107:$W107,T107)=1,2,1)</f>
        <v>0.85</v>
      </c>
      <c r="AP107" s="10">
        <f>+IF(U107=$B107,Pesos!$L$3,0)*IF(COUNTIF($C107:$W107,U107)=1,2,1)</f>
        <v>0</v>
      </c>
      <c r="AQ107" s="10">
        <f>+IF(V107=$B107,Pesos!$L$3,0)*IF(COUNTIF($C107:$W107,V107)=1,2,1)</f>
        <v>0.85</v>
      </c>
      <c r="AR107" s="10">
        <f>+IF(W107=$B107,Pesos!$L$3,0)*IF(COUNTIF($C107:$W107,W107)=1,2,1)</f>
        <v>0.85</v>
      </c>
    </row>
    <row r="108" ht="12.75" customHeight="1">
      <c r="A108" s="1" t="str">
        <f>'1a FASE'!A109</f>
        <v>Machtday 6</v>
      </c>
      <c r="B108" s="8" t="str">
        <f>'1a FASE'!B109</f>
        <v>Empate</v>
      </c>
      <c r="C108" s="11" t="str">
        <f>'1a FASE'!C109</f>
        <v>Borussia Dortmund</v>
      </c>
      <c r="D108" s="11" t="str">
        <f>'1a FASE'!D109</f>
        <v>Borussia Dortmund</v>
      </c>
      <c r="E108" s="11" t="str">
        <f>'1a FASE'!E109</f>
        <v>Borussia Dortmund</v>
      </c>
      <c r="F108" s="11" t="str">
        <f>'1a FASE'!F109</f>
        <v>Borussia Dortmund</v>
      </c>
      <c r="G108" s="11" t="str">
        <f>'1a FASE'!G109</f>
        <v>Borussia Dortmund</v>
      </c>
      <c r="H108" s="11" t="str">
        <f>'1a FASE'!H109</f>
        <v>Borussia Dortmund</v>
      </c>
      <c r="I108" s="11" t="str">
        <f>'1a FASE'!I109</f>
        <v>Borussia Dortmund</v>
      </c>
      <c r="J108" s="11" t="str">
        <f>'1a FASE'!J109</f>
        <v>Borussia Dortmund</v>
      </c>
      <c r="K108" s="11" t="str">
        <f>'1a FASE'!K109</f>
        <v>Borussia Dortmund</v>
      </c>
      <c r="L108" s="11" t="str">
        <f>'1a FASE'!L109</f>
        <v>Borussia Dortmund</v>
      </c>
      <c r="M108" s="11" t="str">
        <f>'1a FASE'!M109</f>
        <v>Borussia Dortmund</v>
      </c>
      <c r="N108" s="11" t="str">
        <f>'1a FASE'!N109</f>
        <v>Borussia Dortmund</v>
      </c>
      <c r="O108" s="11" t="str">
        <f>'1a FASE'!O109</f>
        <v>Borussia Dortmund</v>
      </c>
      <c r="P108" s="11" t="str">
        <f>'1a FASE'!P109</f>
        <v>Borussia Dortmund</v>
      </c>
      <c r="Q108" s="11" t="str">
        <f>'1a FASE'!Q109</f>
        <v>Borussia Dortmund</v>
      </c>
      <c r="R108" s="11" t="str">
        <f>'1a FASE'!R109</f>
        <v>Borussia Dortmund</v>
      </c>
      <c r="S108" s="11" t="str">
        <f>'1a FASE'!S109</f>
        <v>Borussia Dortmund</v>
      </c>
      <c r="T108" s="11" t="str">
        <f>'1a FASE'!T109</f>
        <v>Borussia Dortmund</v>
      </c>
      <c r="U108" s="11" t="str">
        <f>'1a FASE'!U109</f>
        <v>Borussia Dortmund</v>
      </c>
      <c r="V108" s="11" t="str">
        <f>'1a FASE'!V109</f>
        <v>Borussia Dortmund</v>
      </c>
      <c r="W108" s="11" t="str">
        <f>'1a FASE'!W109</f>
        <v>Borussia Dortmund</v>
      </c>
      <c r="X108" s="11">
        <f>+IF(C108=$B108,Pesos!$L$3,0)*IF(COUNTIF($C108:$W108,C108)=1,2,1)</f>
        <v>0</v>
      </c>
      <c r="Y108" s="11">
        <f>+IF(D108=$B108,Pesos!$L$3,0)*IF(COUNTIF($C108:$W108,D108)=1,2,1)</f>
        <v>0</v>
      </c>
      <c r="Z108" s="11">
        <f>+IF(E108=$B108,Pesos!$L$3,0)*IF(COUNTIF($C108:$W108,E108)=1,2,1)</f>
        <v>0</v>
      </c>
      <c r="AA108" s="11">
        <f>+IF(F108=$B108,Pesos!$L$3,0)*IF(COUNTIF($C108:$W108,F108)=1,2,1)</f>
        <v>0</v>
      </c>
      <c r="AB108" s="11">
        <f>+IF(G108=$B108,Pesos!$L$3,0)*IF(COUNTIF($C108:$W108,G108)=1,2,1)</f>
        <v>0</v>
      </c>
      <c r="AC108" s="11">
        <f>+IF(H108=$B108,Pesos!$L$3,0)*IF(COUNTIF($C108:$W108,H108)=1,2,1)</f>
        <v>0</v>
      </c>
      <c r="AD108" s="11">
        <f>+IF(I108=$B108,Pesos!$L$3,0)*IF(COUNTIF($C108:$W108,I108)=1,2,1)</f>
        <v>0</v>
      </c>
      <c r="AE108" s="11">
        <f>+IF(J108=$B108,Pesos!$L$3,0)*IF(COUNTIF($C108:$W108,J108)=1,2,1)</f>
        <v>0</v>
      </c>
      <c r="AF108" s="11">
        <f>+IF(K108=$B108,Pesos!$L$3,0)*IF(COUNTIF($C108:$W108,K108)=1,2,1)</f>
        <v>0</v>
      </c>
      <c r="AG108" s="11">
        <f>+IF(L108=$B108,Pesos!$L$3,0)*IF(COUNTIF($C108:$W108,L108)=1,2,1)</f>
        <v>0</v>
      </c>
      <c r="AH108" s="11">
        <f>+IF(M108=$B108,Pesos!$L$3,0)*IF(COUNTIF($C108:$W108,M108)=1,2,1)</f>
        <v>0</v>
      </c>
      <c r="AI108" s="11">
        <f>+IF(N108=$B108,Pesos!$L$3,0)*IF(COUNTIF($C108:$W108,N108)=1,2,1)</f>
        <v>0</v>
      </c>
      <c r="AJ108" s="11">
        <f>+IF(O108=$B108,Pesos!$L$3,0)*IF(COUNTIF($C108:$W108,O108)=1,2,1)</f>
        <v>0</v>
      </c>
      <c r="AK108" s="11">
        <f>+IF(P108=$B108,Pesos!$L$3,0)*IF(COUNTIF($C108:$W108,P108)=1,2,1)</f>
        <v>0</v>
      </c>
      <c r="AL108" s="11">
        <f>+IF(Q108=$B108,Pesos!$L$3,0)*IF(COUNTIF($C108:$W108,Q108)=1,2,1)</f>
        <v>0</v>
      </c>
      <c r="AM108" s="11">
        <f>+IF(R108=$B108,Pesos!$L$3,0)*IF(COUNTIF($C108:$W108,R108)=1,2,1)</f>
        <v>0</v>
      </c>
      <c r="AN108" s="11">
        <f>+IF(S108=$B108,Pesos!$L$3,0)*IF(COUNTIF($C108:$W108,S108)=1,2,1)</f>
        <v>0</v>
      </c>
      <c r="AO108" s="11">
        <f>+IF(T108=$B108,Pesos!$L$3,0)*IF(COUNTIF($C108:$W108,T108)=1,2,1)</f>
        <v>0</v>
      </c>
      <c r="AP108" s="11">
        <f>+IF(U108=$B108,Pesos!$L$3,0)*IF(COUNTIF($C108:$W108,U108)=1,2,1)</f>
        <v>0</v>
      </c>
      <c r="AQ108" s="11">
        <f>+IF(V108=$B108,Pesos!$L$3,0)*IF(COUNTIF($C108:$W108,V108)=1,2,1)</f>
        <v>0</v>
      </c>
      <c r="AR108" s="11">
        <f>+IF(W108=$B108,Pesos!$L$3,0)*IF(COUNTIF($C108:$W108,W108)=1,2,1)</f>
        <v>0</v>
      </c>
    </row>
    <row r="109" ht="12.75" customHeight="1">
      <c r="A109" s="1" t="str">
        <f>'1a FASE'!A110</f>
        <v>Machtday 6</v>
      </c>
      <c r="B109" s="8" t="str">
        <f>'1a FASE'!B110</f>
        <v>Empate</v>
      </c>
      <c r="C109" s="10" t="str">
        <f>'1a FASE'!C110</f>
        <v>Bayer Leverkusen</v>
      </c>
      <c r="D109" s="10" t="str">
        <f>'1a FASE'!D110</f>
        <v>Bayer Leverkusen</v>
      </c>
      <c r="E109" s="10" t="str">
        <f>'1a FASE'!E110</f>
        <v>Newcastle</v>
      </c>
      <c r="F109" s="10" t="str">
        <f>'1a FASE'!F110</f>
        <v>Bayer Leverkusen</v>
      </c>
      <c r="G109" s="10" t="str">
        <f>'1a FASE'!G110</f>
        <v>Empate</v>
      </c>
      <c r="H109" s="10" t="str">
        <f>'1a FASE'!H110</f>
        <v>Bayer Leverkusen</v>
      </c>
      <c r="I109" s="10" t="str">
        <f>'1a FASE'!I110</f>
        <v>Newcastle</v>
      </c>
      <c r="J109" s="10" t="str">
        <f>'1a FASE'!J110</f>
        <v>Bayer Leverkusen</v>
      </c>
      <c r="K109" s="10" t="str">
        <f>'1a FASE'!K110</f>
        <v>Newcastle</v>
      </c>
      <c r="L109" s="10" t="str">
        <f>'1a FASE'!L110</f>
        <v>Bayer Leverkusen</v>
      </c>
      <c r="M109" s="10" t="str">
        <f>'1a FASE'!M110</f>
        <v>Empate</v>
      </c>
      <c r="N109" s="10" t="str">
        <f>'1a FASE'!N110</f>
        <v>Empate</v>
      </c>
      <c r="O109" s="10" t="str">
        <f>'1a FASE'!O110</f>
        <v>Bayer Leverkusen</v>
      </c>
      <c r="P109" s="10" t="str">
        <f>'1a FASE'!P110</f>
        <v>Bayer Leverkusen</v>
      </c>
      <c r="Q109" s="10" t="str">
        <f>'1a FASE'!Q110</f>
        <v>Bayer Leverkusen</v>
      </c>
      <c r="R109" s="10" t="str">
        <f>'1a FASE'!R110</f>
        <v>Bayer Leverkusen</v>
      </c>
      <c r="S109" s="10" t="str">
        <f>'1a FASE'!S110</f>
        <v>Bayer Leverkusen</v>
      </c>
      <c r="T109" s="10" t="str">
        <f>'1a FASE'!T110</f>
        <v>Bayer Leverkusen</v>
      </c>
      <c r="U109" s="10" t="str">
        <f>'1a FASE'!U110</f>
        <v>Bayer Leverkusen</v>
      </c>
      <c r="V109" s="10" t="str">
        <f>'1a FASE'!V110</f>
        <v>Newcastle</v>
      </c>
      <c r="W109" s="10" t="str">
        <f>'1a FASE'!W110</f>
        <v>Empate</v>
      </c>
      <c r="X109" s="10">
        <f>+IF(C109=$B109,Pesos!$L$3,0)*IF(COUNTIF($C109:$W109,C109)=1,2,1)</f>
        <v>0</v>
      </c>
      <c r="Y109" s="10">
        <f>+IF(D109=$B109,Pesos!$L$3,0)*IF(COUNTIF($C109:$W109,D109)=1,2,1)</f>
        <v>0</v>
      </c>
      <c r="Z109" s="10">
        <f>+IF(E109=$B109,Pesos!$L$3,0)*IF(COUNTIF($C109:$W109,E109)=1,2,1)</f>
        <v>0</v>
      </c>
      <c r="AA109" s="10">
        <f>+IF(F109=$B109,Pesos!$L$3,0)*IF(COUNTIF($C109:$W109,F109)=1,2,1)</f>
        <v>0</v>
      </c>
      <c r="AB109" s="10">
        <f>+IF(G109=$B109,Pesos!$L$3,0)*IF(COUNTIF($C109:$W109,G109)=1,2,1)</f>
        <v>0.85</v>
      </c>
      <c r="AC109" s="10">
        <f>+IF(H109=$B109,Pesos!$L$3,0)*IF(COUNTIF($C109:$W109,H109)=1,2,1)</f>
        <v>0</v>
      </c>
      <c r="AD109" s="10">
        <f>+IF(I109=$B109,Pesos!$L$3,0)*IF(COUNTIF($C109:$W109,I109)=1,2,1)</f>
        <v>0</v>
      </c>
      <c r="AE109" s="10">
        <f>+IF(J109=$B109,Pesos!$L$3,0)*IF(COUNTIF($C109:$W109,J109)=1,2,1)</f>
        <v>0</v>
      </c>
      <c r="AF109" s="10">
        <f>+IF(K109=$B109,Pesos!$L$3,0)*IF(COUNTIF($C109:$W109,K109)=1,2,1)</f>
        <v>0</v>
      </c>
      <c r="AG109" s="10">
        <f>+IF(L109=$B109,Pesos!$L$3,0)*IF(COUNTIF($C109:$W109,L109)=1,2,1)</f>
        <v>0</v>
      </c>
      <c r="AH109" s="10">
        <f>+IF(M109=$B109,Pesos!$L$3,0)*IF(COUNTIF($C109:$W109,M109)=1,2,1)</f>
        <v>0.85</v>
      </c>
      <c r="AI109" s="10">
        <f>+IF(N109=$B109,Pesos!$L$3,0)*IF(COUNTIF($C109:$W109,N109)=1,2,1)</f>
        <v>0.85</v>
      </c>
      <c r="AJ109" s="10">
        <f>+IF(O109=$B109,Pesos!$L$3,0)*IF(COUNTIF($C109:$W109,O109)=1,2,1)</f>
        <v>0</v>
      </c>
      <c r="AK109" s="10">
        <f>+IF(P109=$B109,Pesos!$L$3,0)*IF(COUNTIF($C109:$W109,P109)=1,2,1)</f>
        <v>0</v>
      </c>
      <c r="AL109" s="10">
        <f>+IF(Q109=$B109,Pesos!$L$3,0)*IF(COUNTIF($C109:$W109,Q109)=1,2,1)</f>
        <v>0</v>
      </c>
      <c r="AM109" s="10">
        <f>+IF(R109=$B109,Pesos!$L$3,0)*IF(COUNTIF($C109:$W109,R109)=1,2,1)</f>
        <v>0</v>
      </c>
      <c r="AN109" s="10">
        <f>+IF(S109=$B109,Pesos!$L$3,0)*IF(COUNTIF($C109:$W109,S109)=1,2,1)</f>
        <v>0</v>
      </c>
      <c r="AO109" s="10">
        <f>+IF(T109=$B109,Pesos!$L$3,0)*IF(COUNTIF($C109:$W109,T109)=1,2,1)</f>
        <v>0</v>
      </c>
      <c r="AP109" s="10">
        <f>+IF(U109=$B109,Pesos!$L$3,0)*IF(COUNTIF($C109:$W109,U109)=1,2,1)</f>
        <v>0</v>
      </c>
      <c r="AQ109" s="10">
        <f>+IF(V109=$B109,Pesos!$L$3,0)*IF(COUNTIF($C109:$W109,V109)=1,2,1)</f>
        <v>0</v>
      </c>
      <c r="AR109" s="10">
        <f>+IF(W109=$B109,Pesos!$L$3,0)*IF(COUNTIF($C109:$W109,W109)=1,2,1)</f>
        <v>0.85</v>
      </c>
    </row>
    <row r="110" ht="12.75" customHeight="1">
      <c r="A110" s="1" t="str">
        <f>'1a FASE'!A111</f>
        <v>Machtday 6</v>
      </c>
      <c r="B110" s="8" t="str">
        <f>'1a FASE'!B111</f>
        <v>Benfica</v>
      </c>
      <c r="C110" s="11" t="str">
        <f>'1a FASE'!C111</f>
        <v>Napoli</v>
      </c>
      <c r="D110" s="11" t="str">
        <f>'1a FASE'!D111</f>
        <v>Benfica</v>
      </c>
      <c r="E110" s="11" t="str">
        <f>'1a FASE'!E111</f>
        <v>Benfica</v>
      </c>
      <c r="F110" s="11" t="str">
        <f>'1a FASE'!F111</f>
        <v>Benfica</v>
      </c>
      <c r="G110" s="11" t="str">
        <f>'1a FASE'!G111</f>
        <v>Napoli</v>
      </c>
      <c r="H110" s="11" t="str">
        <f>'1a FASE'!H111</f>
        <v>Benfica</v>
      </c>
      <c r="I110" s="11" t="str">
        <f>'1a FASE'!I111</f>
        <v>Napoli</v>
      </c>
      <c r="J110" s="11" t="str">
        <f>'1a FASE'!J111</f>
        <v>Benfica</v>
      </c>
      <c r="K110" s="11" t="str">
        <f>'1a FASE'!K111</f>
        <v>Benfica</v>
      </c>
      <c r="L110" s="11" t="str">
        <f>'1a FASE'!L111</f>
        <v>Empate</v>
      </c>
      <c r="M110" s="11" t="str">
        <f>'1a FASE'!M111</f>
        <v>Benfica</v>
      </c>
      <c r="N110" s="11" t="str">
        <f>'1a FASE'!N111</f>
        <v>Benfica</v>
      </c>
      <c r="O110" s="11" t="str">
        <f>'1a FASE'!O111</f>
        <v>Empate</v>
      </c>
      <c r="P110" s="11" t="str">
        <f>'1a FASE'!P111</f>
        <v>Empate</v>
      </c>
      <c r="Q110" s="11" t="str">
        <f>'1a FASE'!Q111</f>
        <v>Benfica</v>
      </c>
      <c r="R110" s="11" t="str">
        <f>'1a FASE'!R111</f>
        <v>Napoli</v>
      </c>
      <c r="S110" s="11" t="str">
        <f>'1a FASE'!S111</f>
        <v>Napoli</v>
      </c>
      <c r="T110" s="11" t="str">
        <f>'1a FASE'!T111</f>
        <v>Benfica</v>
      </c>
      <c r="U110" s="11" t="str">
        <f>'1a FASE'!U111</f>
        <v>Benfica</v>
      </c>
      <c r="V110" s="11" t="str">
        <f>'1a FASE'!V111</f>
        <v>Benfica</v>
      </c>
      <c r="W110" s="11" t="str">
        <f>'1a FASE'!W111</f>
        <v>Napoli</v>
      </c>
      <c r="X110" s="11">
        <f>+IF(C110=$B110,Pesos!$L$3,0)*IF(COUNTIF($C110:$W110,C110)=1,2,1)</f>
        <v>0</v>
      </c>
      <c r="Y110" s="11">
        <f>+IF(D110=$B110,Pesos!$L$3,0)*IF(COUNTIF($C110:$W110,D110)=1,2,1)</f>
        <v>0.85</v>
      </c>
      <c r="Z110" s="11">
        <f>+IF(E110=$B110,Pesos!$L$3,0)*IF(COUNTIF($C110:$W110,E110)=1,2,1)</f>
        <v>0.85</v>
      </c>
      <c r="AA110" s="11">
        <f>+IF(F110=$B110,Pesos!$L$3,0)*IF(COUNTIF($C110:$W110,F110)=1,2,1)</f>
        <v>0.85</v>
      </c>
      <c r="AB110" s="11">
        <f>+IF(G110=$B110,Pesos!$L$3,0)*IF(COUNTIF($C110:$W110,G110)=1,2,1)</f>
        <v>0</v>
      </c>
      <c r="AC110" s="11">
        <f>+IF(H110=$B110,Pesos!$L$3,0)*IF(COUNTIF($C110:$W110,H110)=1,2,1)</f>
        <v>0.85</v>
      </c>
      <c r="AD110" s="11">
        <f>+IF(I110=$B110,Pesos!$L$3,0)*IF(COUNTIF($C110:$W110,I110)=1,2,1)</f>
        <v>0</v>
      </c>
      <c r="AE110" s="11">
        <f>+IF(J110=$B110,Pesos!$L$3,0)*IF(COUNTIF($C110:$W110,J110)=1,2,1)</f>
        <v>0.85</v>
      </c>
      <c r="AF110" s="11">
        <f>+IF(K110=$B110,Pesos!$L$3,0)*IF(COUNTIF($C110:$W110,K110)=1,2,1)</f>
        <v>0.85</v>
      </c>
      <c r="AG110" s="11">
        <f>+IF(L110=$B110,Pesos!$L$3,0)*IF(COUNTIF($C110:$W110,L110)=1,2,1)</f>
        <v>0</v>
      </c>
      <c r="AH110" s="11">
        <f>+IF(M110=$B110,Pesos!$L$3,0)*IF(COUNTIF($C110:$W110,M110)=1,2,1)</f>
        <v>0.85</v>
      </c>
      <c r="AI110" s="11">
        <f>+IF(N110=$B110,Pesos!$L$3,0)*IF(COUNTIF($C110:$W110,N110)=1,2,1)</f>
        <v>0.85</v>
      </c>
      <c r="AJ110" s="11">
        <f>+IF(O110=$B110,Pesos!$L$3,0)*IF(COUNTIF($C110:$W110,O110)=1,2,1)</f>
        <v>0</v>
      </c>
      <c r="AK110" s="11">
        <f>+IF(P110=$B110,Pesos!$L$3,0)*IF(COUNTIF($C110:$W110,P110)=1,2,1)</f>
        <v>0</v>
      </c>
      <c r="AL110" s="11">
        <f>+IF(Q110=$B110,Pesos!$L$3,0)*IF(COUNTIF($C110:$W110,Q110)=1,2,1)</f>
        <v>0.85</v>
      </c>
      <c r="AM110" s="11">
        <f>+IF(R110=$B110,Pesos!$L$3,0)*IF(COUNTIF($C110:$W110,R110)=1,2,1)</f>
        <v>0</v>
      </c>
      <c r="AN110" s="11">
        <f>+IF(S110=$B110,Pesos!$L$3,0)*IF(COUNTIF($C110:$W110,S110)=1,2,1)</f>
        <v>0</v>
      </c>
      <c r="AO110" s="11">
        <f>+IF(T110=$B110,Pesos!$L$3,0)*IF(COUNTIF($C110:$W110,T110)=1,2,1)</f>
        <v>0.85</v>
      </c>
      <c r="AP110" s="11">
        <f>+IF(U110=$B110,Pesos!$L$3,0)*IF(COUNTIF($C110:$W110,U110)=1,2,1)</f>
        <v>0.85</v>
      </c>
      <c r="AQ110" s="11">
        <f>+IF(V110=$B110,Pesos!$L$3,0)*IF(COUNTIF($C110:$W110,V110)=1,2,1)</f>
        <v>0.85</v>
      </c>
      <c r="AR110" s="11">
        <f>+IF(W110=$B110,Pesos!$L$3,0)*IF(COUNTIF($C110:$W110,W110)=1,2,1)</f>
        <v>0</v>
      </c>
    </row>
    <row r="111" ht="12.75" customHeight="1">
      <c r="A111" s="1" t="str">
        <f>'1a FASE'!A112</f>
        <v>Machtday 6</v>
      </c>
      <c r="B111" s="8" t="str">
        <f>'1a FASE'!B112</f>
        <v>Juventus</v>
      </c>
      <c r="C111" s="10" t="str">
        <f>'1a FASE'!C112</f>
        <v>Juventus</v>
      </c>
      <c r="D111" s="10" t="str">
        <f>'1a FASE'!D112</f>
        <v>Juventus</v>
      </c>
      <c r="E111" s="10" t="str">
        <f>'1a FASE'!E112</f>
        <v>Juventus</v>
      </c>
      <c r="F111" s="10" t="str">
        <f>'1a FASE'!F112</f>
        <v>Juventus</v>
      </c>
      <c r="G111" s="10" t="str">
        <f>'1a FASE'!G112</f>
        <v>Juventus</v>
      </c>
      <c r="H111" s="10" t="str">
        <f>'1a FASE'!H112</f>
        <v>Juventus</v>
      </c>
      <c r="I111" s="10" t="str">
        <f>'1a FASE'!I112</f>
        <v>Juventus</v>
      </c>
      <c r="J111" s="10" t="str">
        <f>'1a FASE'!J112</f>
        <v>Juventus</v>
      </c>
      <c r="K111" s="10" t="str">
        <f>'1a FASE'!K112</f>
        <v>Juventus</v>
      </c>
      <c r="L111" s="10" t="str">
        <f>'1a FASE'!L112</f>
        <v>Juventus</v>
      </c>
      <c r="M111" s="10" t="str">
        <f>'1a FASE'!M112</f>
        <v>Juventus</v>
      </c>
      <c r="N111" s="10" t="str">
        <f>'1a FASE'!N112</f>
        <v>Juventus</v>
      </c>
      <c r="O111" s="10" t="str">
        <f>'1a FASE'!O112</f>
        <v>Empate</v>
      </c>
      <c r="P111" s="10" t="str">
        <f>'1a FASE'!P112</f>
        <v>Juventus</v>
      </c>
      <c r="Q111" s="10" t="str">
        <f>'1a FASE'!Q112</f>
        <v>Juventus</v>
      </c>
      <c r="R111" s="10" t="str">
        <f>'1a FASE'!R112</f>
        <v>Juventus</v>
      </c>
      <c r="S111" s="10" t="str">
        <f>'1a FASE'!S112</f>
        <v>Juventus</v>
      </c>
      <c r="T111" s="10" t="str">
        <f>'1a FASE'!T112</f>
        <v>Empate</v>
      </c>
      <c r="U111" s="10" t="str">
        <f>'1a FASE'!U112</f>
        <v>Juventus</v>
      </c>
      <c r="V111" s="10" t="str">
        <f>'1a FASE'!V112</f>
        <v>Juventus</v>
      </c>
      <c r="W111" s="10" t="str">
        <f>'1a FASE'!W112</f>
        <v>Juventus</v>
      </c>
      <c r="X111" s="10">
        <f>+IF(C111=$B111,Pesos!$L$3,0)*IF(COUNTIF($C111:$W111,C111)=1,2,1)</f>
        <v>0.85</v>
      </c>
      <c r="Y111" s="10">
        <f>+IF(D111=$B111,Pesos!$L$3,0)*IF(COUNTIF($C111:$W111,D111)=1,2,1)</f>
        <v>0.85</v>
      </c>
      <c r="Z111" s="10">
        <f>+IF(E111=$B111,Pesos!$L$3,0)*IF(COUNTIF($C111:$W111,E111)=1,2,1)</f>
        <v>0.85</v>
      </c>
      <c r="AA111" s="10">
        <f>+IF(F111=$B111,Pesos!$L$3,0)*IF(COUNTIF($C111:$W111,F111)=1,2,1)</f>
        <v>0.85</v>
      </c>
      <c r="AB111" s="10">
        <f>+IF(G111=$B111,Pesos!$L$3,0)*IF(COUNTIF($C111:$W111,G111)=1,2,1)</f>
        <v>0.85</v>
      </c>
      <c r="AC111" s="10">
        <f>+IF(H111=$B111,Pesos!$L$3,0)*IF(COUNTIF($C111:$W111,H111)=1,2,1)</f>
        <v>0.85</v>
      </c>
      <c r="AD111" s="10">
        <f>+IF(I111=$B111,Pesos!$L$3,0)*IF(COUNTIF($C111:$W111,I111)=1,2,1)</f>
        <v>0.85</v>
      </c>
      <c r="AE111" s="10">
        <f>+IF(J111=$B111,Pesos!$L$3,0)*IF(COUNTIF($C111:$W111,J111)=1,2,1)</f>
        <v>0.85</v>
      </c>
      <c r="AF111" s="10">
        <f>+IF(K111=$B111,Pesos!$L$3,0)*IF(COUNTIF($C111:$W111,K111)=1,2,1)</f>
        <v>0.85</v>
      </c>
      <c r="AG111" s="10">
        <f>+IF(L111=$B111,Pesos!$L$3,0)*IF(COUNTIF($C111:$W111,L111)=1,2,1)</f>
        <v>0.85</v>
      </c>
      <c r="AH111" s="10">
        <f>+IF(M111=$B111,Pesos!$L$3,0)*IF(COUNTIF($C111:$W111,M111)=1,2,1)</f>
        <v>0.85</v>
      </c>
      <c r="AI111" s="10">
        <f>+IF(N111=$B111,Pesos!$L$3,0)*IF(COUNTIF($C111:$W111,N111)=1,2,1)</f>
        <v>0.85</v>
      </c>
      <c r="AJ111" s="10">
        <f>+IF(O111=$B111,Pesos!$L$3,0)*IF(COUNTIF($C111:$W111,O111)=1,2,1)</f>
        <v>0</v>
      </c>
      <c r="AK111" s="10">
        <f>+IF(P111=$B111,Pesos!$L$3,0)*IF(COUNTIF($C111:$W111,P111)=1,2,1)</f>
        <v>0.85</v>
      </c>
      <c r="AL111" s="10">
        <f>+IF(Q111=$B111,Pesos!$L$3,0)*IF(COUNTIF($C111:$W111,Q111)=1,2,1)</f>
        <v>0.85</v>
      </c>
      <c r="AM111" s="10">
        <f>+IF(R111=$B111,Pesos!$L$3,0)*IF(COUNTIF($C111:$W111,R111)=1,2,1)</f>
        <v>0.85</v>
      </c>
      <c r="AN111" s="10">
        <f>+IF(S111=$B111,Pesos!$L$3,0)*IF(COUNTIF($C111:$W111,S111)=1,2,1)</f>
        <v>0.85</v>
      </c>
      <c r="AO111" s="10">
        <f>+IF(T111=$B111,Pesos!$L$3,0)*IF(COUNTIF($C111:$W111,T111)=1,2,1)</f>
        <v>0</v>
      </c>
      <c r="AP111" s="10">
        <f>+IF(U111=$B111,Pesos!$L$3,0)*IF(COUNTIF($C111:$W111,U111)=1,2,1)</f>
        <v>0.85</v>
      </c>
      <c r="AQ111" s="10">
        <f>+IF(V111=$B111,Pesos!$L$3,0)*IF(COUNTIF($C111:$W111,V111)=1,2,1)</f>
        <v>0.85</v>
      </c>
      <c r="AR111" s="10">
        <f>+IF(W111=$B111,Pesos!$L$3,0)*IF(COUNTIF($C111:$W111,W111)=1,2,1)</f>
        <v>0.85</v>
      </c>
    </row>
    <row r="112" ht="12.75" customHeight="1">
      <c r="A112" s="1" t="str">
        <f>'1a FASE'!A113</f>
        <v>Machtday 6</v>
      </c>
      <c r="B112" s="8" t="str">
        <f>'1a FASE'!B113</f>
        <v>Arsenal</v>
      </c>
      <c r="C112" s="11" t="str">
        <f>'1a FASE'!C113</f>
        <v>Arsenal</v>
      </c>
      <c r="D112" s="11" t="str">
        <f>'1a FASE'!D113</f>
        <v>Arsenal</v>
      </c>
      <c r="E112" s="11" t="str">
        <f>'1a FASE'!E113</f>
        <v>Arsenal</v>
      </c>
      <c r="F112" s="11" t="str">
        <f>'1a FASE'!F113</f>
        <v>Arsenal</v>
      </c>
      <c r="G112" s="11" t="str">
        <f>'1a FASE'!G113</f>
        <v>Arsenal</v>
      </c>
      <c r="H112" s="11" t="str">
        <f>'1a FASE'!H113</f>
        <v>Arsenal</v>
      </c>
      <c r="I112" s="11" t="str">
        <f>'1a FASE'!I113</f>
        <v>Arsenal</v>
      </c>
      <c r="J112" s="11" t="str">
        <f>'1a FASE'!J113</f>
        <v>Arsenal</v>
      </c>
      <c r="K112" s="11" t="str">
        <f>'1a FASE'!K113</f>
        <v>Arsenal</v>
      </c>
      <c r="L112" s="11" t="str">
        <f>'1a FASE'!L113</f>
        <v>Empate</v>
      </c>
      <c r="M112" s="11" t="str">
        <f>'1a FASE'!M113</f>
        <v>Arsenal</v>
      </c>
      <c r="N112" s="11" t="str">
        <f>'1a FASE'!N113</f>
        <v>Arsenal</v>
      </c>
      <c r="O112" s="11" t="str">
        <f>'1a FASE'!O113</f>
        <v>Arsenal</v>
      </c>
      <c r="P112" s="11" t="str">
        <f>'1a FASE'!P113</f>
        <v>Arsenal</v>
      </c>
      <c r="Q112" s="11" t="str">
        <f>'1a FASE'!Q113</f>
        <v>Empate</v>
      </c>
      <c r="R112" s="11" t="str">
        <f>'1a FASE'!R113</f>
        <v>Empate</v>
      </c>
      <c r="S112" s="11" t="str">
        <f>'1a FASE'!S113</f>
        <v>Arsenal</v>
      </c>
      <c r="T112" s="11" t="str">
        <f>'1a FASE'!T113</f>
        <v>Club Brugge</v>
      </c>
      <c r="U112" s="11" t="str">
        <f>'1a FASE'!U113</f>
        <v>Arsenal</v>
      </c>
      <c r="V112" s="11" t="str">
        <f>'1a FASE'!V113</f>
        <v>Club Brugge</v>
      </c>
      <c r="W112" s="11" t="str">
        <f>'1a FASE'!W113</f>
        <v>Arsenal</v>
      </c>
      <c r="X112" s="11">
        <f>+IF(C112=$B112,Pesos!$L$3,0)*IF(COUNTIF($C112:$W112,C112)=1,2,1)</f>
        <v>0.85</v>
      </c>
      <c r="Y112" s="11">
        <f>+IF(D112=$B112,Pesos!$L$3,0)*IF(COUNTIF($C112:$W112,D112)=1,2,1)</f>
        <v>0.85</v>
      </c>
      <c r="Z112" s="11">
        <f>+IF(E112=$B112,Pesos!$L$3,0)*IF(COUNTIF($C112:$W112,E112)=1,2,1)</f>
        <v>0.85</v>
      </c>
      <c r="AA112" s="11">
        <f>+IF(F112=$B112,Pesos!$L$3,0)*IF(COUNTIF($C112:$W112,F112)=1,2,1)</f>
        <v>0.85</v>
      </c>
      <c r="AB112" s="11">
        <f>+IF(G112=$B112,Pesos!$L$3,0)*IF(COUNTIF($C112:$W112,G112)=1,2,1)</f>
        <v>0.85</v>
      </c>
      <c r="AC112" s="11">
        <f>+IF(H112=$B112,Pesos!$L$3,0)*IF(COUNTIF($C112:$W112,H112)=1,2,1)</f>
        <v>0.85</v>
      </c>
      <c r="AD112" s="11">
        <f>+IF(I112=$B112,Pesos!$L$3,0)*IF(COUNTIF($C112:$W112,I112)=1,2,1)</f>
        <v>0.85</v>
      </c>
      <c r="AE112" s="11">
        <f>+IF(J112=$B112,Pesos!$L$3,0)*IF(COUNTIF($C112:$W112,J112)=1,2,1)</f>
        <v>0.85</v>
      </c>
      <c r="AF112" s="11">
        <f>+IF(K112=$B112,Pesos!$L$3,0)*IF(COUNTIF($C112:$W112,K112)=1,2,1)</f>
        <v>0.85</v>
      </c>
      <c r="AG112" s="11">
        <f>+IF(L112=$B112,Pesos!$L$3,0)*IF(COUNTIF($C112:$W112,L112)=1,2,1)</f>
        <v>0</v>
      </c>
      <c r="AH112" s="11">
        <f>+IF(M112=$B112,Pesos!$L$3,0)*IF(COUNTIF($C112:$W112,M112)=1,2,1)</f>
        <v>0.85</v>
      </c>
      <c r="AI112" s="11">
        <f>+IF(N112=$B112,Pesos!$L$3,0)*IF(COUNTIF($C112:$W112,N112)=1,2,1)</f>
        <v>0.85</v>
      </c>
      <c r="AJ112" s="11">
        <f>+IF(O112=$B112,Pesos!$L$3,0)*IF(COUNTIF($C112:$W112,O112)=1,2,1)</f>
        <v>0.85</v>
      </c>
      <c r="AK112" s="11">
        <f>+IF(P112=$B112,Pesos!$L$3,0)*IF(COUNTIF($C112:$W112,P112)=1,2,1)</f>
        <v>0.85</v>
      </c>
      <c r="AL112" s="11">
        <f>+IF(Q112=$B112,Pesos!$L$3,0)*IF(COUNTIF($C112:$W112,Q112)=1,2,1)</f>
        <v>0</v>
      </c>
      <c r="AM112" s="11">
        <f>+IF(R112=$B112,Pesos!$L$3,0)*IF(COUNTIF($C112:$W112,R112)=1,2,1)</f>
        <v>0</v>
      </c>
      <c r="AN112" s="11">
        <f>+IF(S112=$B112,Pesos!$L$3,0)*IF(COUNTIF($C112:$W112,S112)=1,2,1)</f>
        <v>0.85</v>
      </c>
      <c r="AO112" s="11">
        <f>+IF(T112=$B112,Pesos!$L$3,0)*IF(COUNTIF($C112:$W112,T112)=1,2,1)</f>
        <v>0</v>
      </c>
      <c r="AP112" s="11">
        <f>+IF(U112=$B112,Pesos!$L$3,0)*IF(COUNTIF($C112:$W112,U112)=1,2,1)</f>
        <v>0.85</v>
      </c>
      <c r="AQ112" s="11">
        <f>+IF(V112=$B112,Pesos!$L$3,0)*IF(COUNTIF($C112:$W112,V112)=1,2,1)</f>
        <v>0</v>
      </c>
      <c r="AR112" s="11">
        <f>+IF(W112=$B112,Pesos!$L$3,0)*IF(COUNTIF($C112:$W112,W112)=1,2,1)</f>
        <v>0.85</v>
      </c>
    </row>
    <row r="113" ht="12.75" customHeight="1">
      <c r="A113" s="1" t="str">
        <f>'1a FASE'!A114</f>
        <v>Machtday 6</v>
      </c>
      <c r="B113" s="8" t="str">
        <f>'1a FASE'!B114</f>
        <v>Empate</v>
      </c>
      <c r="C113" s="10" t="str">
        <f>'1a FASE'!C114</f>
        <v>Paris Saint-Germain</v>
      </c>
      <c r="D113" s="10" t="str">
        <f>'1a FASE'!D114</f>
        <v>Paris Saint-Germain</v>
      </c>
      <c r="E113" s="10" t="str">
        <f>'1a FASE'!E114</f>
        <v>Paris Saint-Germain</v>
      </c>
      <c r="F113" s="10" t="str">
        <f>'1a FASE'!F114</f>
        <v>Paris Saint-Germain</v>
      </c>
      <c r="G113" s="10" t="str">
        <f>'1a FASE'!G114</f>
        <v>Empate</v>
      </c>
      <c r="H113" s="10" t="str">
        <f>'1a FASE'!H114</f>
        <v>Paris Saint-Germain</v>
      </c>
      <c r="I113" s="10" t="str">
        <f>'1a FASE'!I114</f>
        <v>Paris Saint-Germain</v>
      </c>
      <c r="J113" s="10" t="str">
        <f>'1a FASE'!J114</f>
        <v>Paris Saint-Germain</v>
      </c>
      <c r="K113" s="10" t="str">
        <f>'1a FASE'!K114</f>
        <v>Athletic Bilbao</v>
      </c>
      <c r="L113" s="10" t="str">
        <f>'1a FASE'!L114</f>
        <v>Paris Saint-Germain</v>
      </c>
      <c r="M113" s="10" t="str">
        <f>'1a FASE'!M114</f>
        <v>Paris Saint-Germain</v>
      </c>
      <c r="N113" s="10" t="str">
        <f>'1a FASE'!N114</f>
        <v>Paris Saint-Germain</v>
      </c>
      <c r="O113" s="10" t="str">
        <f>'1a FASE'!O114</f>
        <v>Empate</v>
      </c>
      <c r="P113" s="10" t="str">
        <f>'1a FASE'!P114</f>
        <v>Paris Saint-Germain</v>
      </c>
      <c r="Q113" s="10" t="str">
        <f>'1a FASE'!Q114</f>
        <v>Empate</v>
      </c>
      <c r="R113" s="10" t="str">
        <f>'1a FASE'!R114</f>
        <v>Paris Saint-Germain</v>
      </c>
      <c r="S113" s="10" t="str">
        <f>'1a FASE'!S114</f>
        <v>Paris Saint-Germain</v>
      </c>
      <c r="T113" s="10" t="str">
        <f>'1a FASE'!T114</f>
        <v>Athletic Bilbao</v>
      </c>
      <c r="U113" s="10" t="str">
        <f>'1a FASE'!U114</f>
        <v>Paris Saint-Germain</v>
      </c>
      <c r="V113" s="10" t="str">
        <f>'1a FASE'!V114</f>
        <v>Paris Saint-Germain</v>
      </c>
      <c r="W113" s="10" t="str">
        <f>'1a FASE'!W114</f>
        <v>Paris Saint-Germain</v>
      </c>
      <c r="X113" s="10">
        <f>+IF(C113=$B113,Pesos!$L$3,0)*IF(COUNTIF($C113:$W113,C113)=1,2,1)</f>
        <v>0</v>
      </c>
      <c r="Y113" s="10">
        <f>+IF(D113=$B113,Pesos!$L$3,0)*IF(COUNTIF($C113:$W113,D113)=1,2,1)</f>
        <v>0</v>
      </c>
      <c r="Z113" s="10">
        <f>+IF(E113=$B113,Pesos!$L$3,0)*IF(COUNTIF($C113:$W113,E113)=1,2,1)</f>
        <v>0</v>
      </c>
      <c r="AA113" s="10">
        <f>+IF(F113=$B113,Pesos!$L$3,0)*IF(COUNTIF($C113:$W113,F113)=1,2,1)</f>
        <v>0</v>
      </c>
      <c r="AB113" s="10">
        <f>+IF(G113=$B113,Pesos!$L$3,0)*IF(COUNTIF($C113:$W113,G113)=1,2,1)</f>
        <v>0.85</v>
      </c>
      <c r="AC113" s="10">
        <f>+IF(H113=$B113,Pesos!$L$3,0)*IF(COUNTIF($C113:$W113,H113)=1,2,1)</f>
        <v>0</v>
      </c>
      <c r="AD113" s="10">
        <f>+IF(I113=$B113,Pesos!$L$3,0)*IF(COUNTIF($C113:$W113,I113)=1,2,1)</f>
        <v>0</v>
      </c>
      <c r="AE113" s="10">
        <f>+IF(J113=$B113,Pesos!$L$3,0)*IF(COUNTIF($C113:$W113,J113)=1,2,1)</f>
        <v>0</v>
      </c>
      <c r="AF113" s="10">
        <f>+IF(K113=$B113,Pesos!$L$3,0)*IF(COUNTIF($C113:$W113,K113)=1,2,1)</f>
        <v>0</v>
      </c>
      <c r="AG113" s="10">
        <f>+IF(L113=$B113,Pesos!$L$3,0)*IF(COUNTIF($C113:$W113,L113)=1,2,1)</f>
        <v>0</v>
      </c>
      <c r="AH113" s="10">
        <f>+IF(M113=$B113,Pesos!$L$3,0)*IF(COUNTIF($C113:$W113,M113)=1,2,1)</f>
        <v>0</v>
      </c>
      <c r="AI113" s="10">
        <f>+IF(N113=$B113,Pesos!$L$3,0)*IF(COUNTIF($C113:$W113,N113)=1,2,1)</f>
        <v>0</v>
      </c>
      <c r="AJ113" s="10">
        <f>+IF(O113=$B113,Pesos!$L$3,0)*IF(COUNTIF($C113:$W113,O113)=1,2,1)</f>
        <v>0.85</v>
      </c>
      <c r="AK113" s="10">
        <f>+IF(P113=$B113,Pesos!$L$3,0)*IF(COUNTIF($C113:$W113,P113)=1,2,1)</f>
        <v>0</v>
      </c>
      <c r="AL113" s="10">
        <f>+IF(Q113=$B113,Pesos!$L$3,0)*IF(COUNTIF($C113:$W113,Q113)=1,2,1)</f>
        <v>0.85</v>
      </c>
      <c r="AM113" s="10">
        <f>+IF(R113=$B113,Pesos!$L$3,0)*IF(COUNTIF($C113:$W113,R113)=1,2,1)</f>
        <v>0</v>
      </c>
      <c r="AN113" s="10">
        <f>+IF(S113=$B113,Pesos!$L$3,0)*IF(COUNTIF($C113:$W113,S113)=1,2,1)</f>
        <v>0</v>
      </c>
      <c r="AO113" s="10">
        <f>+IF(T113=$B113,Pesos!$L$3,0)*IF(COUNTIF($C113:$W113,T113)=1,2,1)</f>
        <v>0</v>
      </c>
      <c r="AP113" s="10">
        <f>+IF(U113=$B113,Pesos!$L$3,0)*IF(COUNTIF($C113:$W113,U113)=1,2,1)</f>
        <v>0</v>
      </c>
      <c r="AQ113" s="10">
        <f>+IF(V113=$B113,Pesos!$L$3,0)*IF(COUNTIF($C113:$W113,V113)=1,2,1)</f>
        <v>0</v>
      </c>
      <c r="AR113" s="10">
        <f>+IF(W113=$B113,Pesos!$L$3,0)*IF(COUNTIF($C113:$W113,W113)=1,2,1)</f>
        <v>0</v>
      </c>
    </row>
    <row r="114" ht="12.75" customHeight="1">
      <c r="A114" s="1" t="str">
        <f>'1a FASE'!A115</f>
        <v>Machtday 6</v>
      </c>
      <c r="B114" s="8" t="str">
        <f>'1a FASE'!B115</f>
        <v>Manchester City</v>
      </c>
      <c r="C114" s="11" t="str">
        <f>'1a FASE'!C115</f>
        <v>Real Madrid</v>
      </c>
      <c r="D114" s="11" t="str">
        <f>'1a FASE'!D115</f>
        <v>Real Madrid</v>
      </c>
      <c r="E114" s="11" t="str">
        <f>'1a FASE'!E115</f>
        <v>Real Madrid</v>
      </c>
      <c r="F114" s="11" t="str">
        <f>'1a FASE'!F115</f>
        <v>Real Madrid</v>
      </c>
      <c r="G114" s="11" t="str">
        <f>'1a FASE'!G115</f>
        <v>Real Madrid</v>
      </c>
      <c r="H114" s="11" t="str">
        <f>'1a FASE'!H115</f>
        <v>Real Madrid</v>
      </c>
      <c r="I114" s="11" t="str">
        <f>'1a FASE'!I115</f>
        <v>Real Madrid</v>
      </c>
      <c r="J114" s="11" t="str">
        <f>'1a FASE'!J115</f>
        <v>Real Madrid</v>
      </c>
      <c r="K114" s="11" t="str">
        <f>'1a FASE'!K115</f>
        <v>Real Madrid</v>
      </c>
      <c r="L114" s="11" t="str">
        <f>'1a FASE'!L115</f>
        <v>Empate</v>
      </c>
      <c r="M114" s="11" t="str">
        <f>'1a FASE'!M115</f>
        <v>Real Madrid</v>
      </c>
      <c r="N114" s="11" t="str">
        <f>'1a FASE'!N115</f>
        <v>Real Madrid</v>
      </c>
      <c r="O114" s="11" t="str">
        <f>'1a FASE'!O115</f>
        <v>Empate</v>
      </c>
      <c r="P114" s="11" t="str">
        <f>'1a FASE'!P115</f>
        <v>Real Madrid</v>
      </c>
      <c r="Q114" s="11" t="str">
        <f>'1a FASE'!Q115</f>
        <v>Manchester City</v>
      </c>
      <c r="R114" s="11" t="str">
        <f>'1a FASE'!R115</f>
        <v>Real Madrid</v>
      </c>
      <c r="S114" s="11" t="str">
        <f>'1a FASE'!S115</f>
        <v>Empate</v>
      </c>
      <c r="T114" s="11" t="str">
        <f>'1a FASE'!T115</f>
        <v>Real Madrid</v>
      </c>
      <c r="U114" s="11" t="str">
        <f>'1a FASE'!U115</f>
        <v>Real Madrid</v>
      </c>
      <c r="V114" s="11" t="str">
        <f>'1a FASE'!V115</f>
        <v>Real Madrid</v>
      </c>
      <c r="W114" s="11" t="str">
        <f>'1a FASE'!W115</f>
        <v>Real Madrid</v>
      </c>
      <c r="X114" s="11">
        <f>+IF(C114=$B114,Pesos!$L$3,0)*IF(COUNTIF($C114:$W114,C114)=1,2,1)</f>
        <v>0</v>
      </c>
      <c r="Y114" s="11">
        <f>+IF(D114=$B114,Pesos!$L$3,0)*IF(COUNTIF($C114:$W114,D114)=1,2,1)</f>
        <v>0</v>
      </c>
      <c r="Z114" s="11">
        <f>+IF(E114=$B114,Pesos!$L$3,0)*IF(COUNTIF($C114:$W114,E114)=1,2,1)</f>
        <v>0</v>
      </c>
      <c r="AA114" s="11">
        <f>+IF(F114=$B114,Pesos!$L$3,0)*IF(COUNTIF($C114:$W114,F114)=1,2,1)</f>
        <v>0</v>
      </c>
      <c r="AB114" s="11">
        <f>+IF(G114=$B114,Pesos!$L$3,0)*IF(COUNTIF($C114:$W114,G114)=1,2,1)</f>
        <v>0</v>
      </c>
      <c r="AC114" s="11">
        <f>+IF(H114=$B114,Pesos!$L$3,0)*IF(COUNTIF($C114:$W114,H114)=1,2,1)</f>
        <v>0</v>
      </c>
      <c r="AD114" s="11">
        <f>+IF(I114=$B114,Pesos!$L$3,0)*IF(COUNTIF($C114:$W114,I114)=1,2,1)</f>
        <v>0</v>
      </c>
      <c r="AE114" s="11">
        <f>+IF(J114=$B114,Pesos!$L$3,0)*IF(COUNTIF($C114:$W114,J114)=1,2,1)</f>
        <v>0</v>
      </c>
      <c r="AF114" s="11">
        <f>+IF(K114=$B114,Pesos!$L$3,0)*IF(COUNTIF($C114:$W114,K114)=1,2,1)</f>
        <v>0</v>
      </c>
      <c r="AG114" s="11">
        <f>+IF(L114=$B114,Pesos!$L$3,0)*IF(COUNTIF($C114:$W114,L114)=1,2,1)</f>
        <v>0</v>
      </c>
      <c r="AH114" s="11">
        <f>+IF(M114=$B114,Pesos!$L$3,0)*IF(COUNTIF($C114:$W114,M114)=1,2,1)</f>
        <v>0</v>
      </c>
      <c r="AI114" s="11">
        <f>+IF(N114=$B114,Pesos!$L$3,0)*IF(COUNTIF($C114:$W114,N114)=1,2,1)</f>
        <v>0</v>
      </c>
      <c r="AJ114" s="11">
        <f>+IF(O114=$B114,Pesos!$L$3,0)*IF(COUNTIF($C114:$W114,O114)=1,2,1)</f>
        <v>0</v>
      </c>
      <c r="AK114" s="11">
        <f>+IF(P114=$B114,Pesos!$L$3,0)*IF(COUNTIF($C114:$W114,P114)=1,2,1)</f>
        <v>0</v>
      </c>
      <c r="AL114" s="11">
        <f>+IF(Q114=$B114,Pesos!$L$3,0)*IF(COUNTIF($C114:$W114,Q114)=1,2,1)</f>
        <v>1.7</v>
      </c>
      <c r="AM114" s="11">
        <f>+IF(R114=$B114,Pesos!$L$3,0)*IF(COUNTIF($C114:$W114,R114)=1,2,1)</f>
        <v>0</v>
      </c>
      <c r="AN114" s="11">
        <f>+IF(S114=$B114,Pesos!$L$3,0)*IF(COUNTIF($C114:$W114,S114)=1,2,1)</f>
        <v>0</v>
      </c>
      <c r="AO114" s="11">
        <f>+IF(T114=$B114,Pesos!$L$3,0)*IF(COUNTIF($C114:$W114,T114)=1,2,1)</f>
        <v>0</v>
      </c>
      <c r="AP114" s="11">
        <f>+IF(U114=$B114,Pesos!$L$3,0)*IF(COUNTIF($C114:$W114,U114)=1,2,1)</f>
        <v>0</v>
      </c>
      <c r="AQ114" s="11">
        <f>+IF(V114=$B114,Pesos!$L$3,0)*IF(COUNTIF($C114:$W114,V114)=1,2,1)</f>
        <v>0</v>
      </c>
      <c r="AR114" s="11">
        <f>+IF(W114=$B114,Pesos!$L$3,0)*IF(COUNTIF($C114:$W114,W114)=1,2,1)</f>
        <v>0</v>
      </c>
    </row>
    <row r="115" ht="12.75" customHeight="1">
      <c r="A115" s="1" t="str">
        <f>'1a FASE'!A116</f>
        <v>Machtday 7</v>
      </c>
      <c r="B115" s="8" t="str">
        <f>'1a FASE'!B116</f>
        <v>Club Brugge</v>
      </c>
      <c r="C115" s="10" t="str">
        <f>'1a FASE'!C116</f>
        <v>Club Brugge</v>
      </c>
      <c r="D115" s="10" t="str">
        <f>'1a FASE'!D116</f>
        <v>Club Brugge</v>
      </c>
      <c r="E115" s="10" t="str">
        <f>'1a FASE'!E116</f>
        <v>Kairat</v>
      </c>
      <c r="F115" s="10" t="str">
        <f>'1a FASE'!F116</f>
        <v>Club Brugge</v>
      </c>
      <c r="G115" s="10" t="str">
        <f>'1a FASE'!G116</f>
        <v>Club Brugge</v>
      </c>
      <c r="H115" s="10" t="str">
        <f>'1a FASE'!H116</f>
        <v>Kairat</v>
      </c>
      <c r="I115" s="10" t="str">
        <f>'1a FASE'!I116</f>
        <v>Club Brugge</v>
      </c>
      <c r="J115" s="10" t="str">
        <f>'1a FASE'!J116</f>
        <v>Kairat</v>
      </c>
      <c r="K115" s="10" t="str">
        <f>'1a FASE'!K116</f>
        <v>Club Brugge</v>
      </c>
      <c r="L115" s="10" t="str">
        <f>'1a FASE'!L116</f>
        <v>Kairat</v>
      </c>
      <c r="M115" s="10" t="str">
        <f>'1a FASE'!M116</f>
        <v>Club Brugge</v>
      </c>
      <c r="N115" s="10" t="str">
        <f>'1a FASE'!N116</f>
        <v>Club Brugge</v>
      </c>
      <c r="O115" s="10" t="str">
        <f>'1a FASE'!O116</f>
        <v>Empate</v>
      </c>
      <c r="P115" s="10" t="str">
        <f>'1a FASE'!P116</f>
        <v>Club Brugge</v>
      </c>
      <c r="Q115" s="10" t="str">
        <f>'1a FASE'!Q116</f>
        <v>Club Brugge</v>
      </c>
      <c r="R115" s="10" t="str">
        <f>'1a FASE'!R116</f>
        <v>Club Brugge</v>
      </c>
      <c r="S115" s="10" t="str">
        <f>'1a FASE'!S116</f>
        <v>Club Brugge</v>
      </c>
      <c r="T115" s="10" t="str">
        <f>'1a FASE'!T116</f>
        <v>Empate</v>
      </c>
      <c r="U115" s="10" t="str">
        <f>'1a FASE'!U116</f>
        <v>Empate</v>
      </c>
      <c r="V115" s="10" t="str">
        <f>'1a FASE'!V116</f>
        <v>Club Brugge</v>
      </c>
      <c r="W115" s="10" t="str">
        <f>'1a FASE'!W116</f>
        <v>Club Brugge</v>
      </c>
      <c r="X115" s="10">
        <f>+IF(C115=$B115,Pesos!$L$3,0)*IF(COUNTIF($C115:$W115,C115)=1,2,1)</f>
        <v>0.85</v>
      </c>
      <c r="Y115" s="10">
        <f>+IF(D115=$B115,Pesos!$L$3,0)*IF(COUNTIF($C115:$W115,D115)=1,2,1)</f>
        <v>0.85</v>
      </c>
      <c r="Z115" s="10">
        <f>+IF(E115=$B115,Pesos!$L$3,0)*IF(COUNTIF($C115:$W115,E115)=1,2,1)</f>
        <v>0</v>
      </c>
      <c r="AA115" s="10">
        <f>+IF(F115=$B115,Pesos!$L$3,0)*IF(COUNTIF($C115:$W115,F115)=1,2,1)</f>
        <v>0.85</v>
      </c>
      <c r="AB115" s="10">
        <f>+IF(G115=$B115,Pesos!$L$3,0)*IF(COUNTIF($C115:$W115,G115)=1,2,1)</f>
        <v>0.85</v>
      </c>
      <c r="AC115" s="10">
        <f>+IF(H115=$B115,Pesos!$L$3,0)*IF(COUNTIF($C115:$W115,H115)=1,2,1)</f>
        <v>0</v>
      </c>
      <c r="AD115" s="10">
        <f>+IF(I115=$B115,Pesos!$L$3,0)*IF(COUNTIF($C115:$W115,I115)=1,2,1)</f>
        <v>0.85</v>
      </c>
      <c r="AE115" s="10">
        <f>+IF(J115=$B115,Pesos!$L$3,0)*IF(COUNTIF($C115:$W115,J115)=1,2,1)</f>
        <v>0</v>
      </c>
      <c r="AF115" s="10">
        <f>+IF(K115=$B115,Pesos!$L$3,0)*IF(COUNTIF($C115:$W115,K115)=1,2,1)</f>
        <v>0.85</v>
      </c>
      <c r="AG115" s="10">
        <f>+IF(L115=$B115,Pesos!$L$3,0)*IF(COUNTIF($C115:$W115,L115)=1,2,1)</f>
        <v>0</v>
      </c>
      <c r="AH115" s="10">
        <f>+IF(M115=$B115,Pesos!$L$3,0)*IF(COUNTIF($C115:$W115,M115)=1,2,1)</f>
        <v>0.85</v>
      </c>
      <c r="AI115" s="10">
        <f>+IF(N115=$B115,Pesos!$L$3,0)*IF(COUNTIF($C115:$W115,N115)=1,2,1)</f>
        <v>0.85</v>
      </c>
      <c r="AJ115" s="10">
        <f>+IF(O115=$B115,Pesos!$L$3,0)*IF(COUNTIF($C115:$W115,O115)=1,2,1)</f>
        <v>0</v>
      </c>
      <c r="AK115" s="10">
        <f>+IF(P115=$B115,Pesos!$L$3,0)*IF(COUNTIF($C115:$W115,P115)=1,2,1)</f>
        <v>0.85</v>
      </c>
      <c r="AL115" s="10">
        <f>+IF(Q115=$B115,Pesos!$L$3,0)*IF(COUNTIF($C115:$W115,Q115)=1,2,1)</f>
        <v>0.85</v>
      </c>
      <c r="AM115" s="10">
        <f>+IF(R115=$B115,Pesos!$L$3,0)*IF(COUNTIF($C115:$W115,R115)=1,2,1)</f>
        <v>0.85</v>
      </c>
      <c r="AN115" s="10">
        <f>+IF(S115=$B115,Pesos!$L$3,0)*IF(COUNTIF($C115:$W115,S115)=1,2,1)</f>
        <v>0.85</v>
      </c>
      <c r="AO115" s="10">
        <f>+IF(T115=$B115,Pesos!$L$3,0)*IF(COUNTIF($C115:$W115,T115)=1,2,1)</f>
        <v>0</v>
      </c>
      <c r="AP115" s="10">
        <f>+IF(U115=$B115,Pesos!$L$3,0)*IF(COUNTIF($C115:$W115,U115)=1,2,1)</f>
        <v>0</v>
      </c>
      <c r="AQ115" s="10">
        <f>+IF(V115=$B115,Pesos!$L$3,0)*IF(COUNTIF($C115:$W115,V115)=1,2,1)</f>
        <v>0.85</v>
      </c>
      <c r="AR115" s="10">
        <f>+IF(W115=$B115,Pesos!$L$3,0)*IF(COUNTIF($C115:$W115,W115)=1,2,1)</f>
        <v>0.85</v>
      </c>
    </row>
    <row r="116" ht="12.75" customHeight="1">
      <c r="A116" s="1" t="str">
        <f>'1a FASE'!A117</f>
        <v>Machtday 7</v>
      </c>
      <c r="B116" s="8" t="str">
        <f>'1a FASE'!B117</f>
        <v>Bodö/Glimt</v>
      </c>
      <c r="C116" s="11" t="str">
        <f>'1a FASE'!C117</f>
        <v>Manchester City</v>
      </c>
      <c r="D116" s="11" t="str">
        <f>'1a FASE'!D117</f>
        <v>Manchester City</v>
      </c>
      <c r="E116" s="11" t="str">
        <f>'1a FASE'!E117</f>
        <v>Manchester City</v>
      </c>
      <c r="F116" s="11" t="str">
        <f>'1a FASE'!F117</f>
        <v>Manchester City</v>
      </c>
      <c r="G116" s="11" t="str">
        <f>'1a FASE'!G117</f>
        <v>Manchester City</v>
      </c>
      <c r="H116" s="11" t="str">
        <f>'1a FASE'!H117</f>
        <v>Manchester City</v>
      </c>
      <c r="I116" s="11" t="str">
        <f>'1a FASE'!I117</f>
        <v>Manchester City</v>
      </c>
      <c r="J116" s="11" t="str">
        <f>'1a FASE'!J117</f>
        <v>Manchester City</v>
      </c>
      <c r="K116" s="11" t="str">
        <f>'1a FASE'!K117</f>
        <v>Manchester City</v>
      </c>
      <c r="L116" s="11" t="str">
        <f>'1a FASE'!L117</f>
        <v>Manchester City</v>
      </c>
      <c r="M116" s="11" t="str">
        <f>'1a FASE'!M117</f>
        <v>Manchester City</v>
      </c>
      <c r="N116" s="11" t="str">
        <f>'1a FASE'!N117</f>
        <v>Manchester City</v>
      </c>
      <c r="O116" s="11" t="str">
        <f>'1a FASE'!O117</f>
        <v>Manchester City</v>
      </c>
      <c r="P116" s="11" t="str">
        <f>'1a FASE'!P117</f>
        <v>Manchester City</v>
      </c>
      <c r="Q116" s="11" t="str">
        <f>'1a FASE'!Q117</f>
        <v>Manchester City</v>
      </c>
      <c r="R116" s="11" t="str">
        <f>'1a FASE'!R117</f>
        <v>Manchester City</v>
      </c>
      <c r="S116" s="11" t="str">
        <f>'1a FASE'!S117</f>
        <v>Manchester City</v>
      </c>
      <c r="T116" s="11" t="str">
        <f>'1a FASE'!T117</f>
        <v>Manchester City</v>
      </c>
      <c r="U116" s="11" t="str">
        <f>'1a FASE'!U117</f>
        <v>Manchester City</v>
      </c>
      <c r="V116" s="11" t="str">
        <f>'1a FASE'!V117</f>
        <v>Manchester City</v>
      </c>
      <c r="W116" s="11" t="str">
        <f>'1a FASE'!W117</f>
        <v>Manchester City</v>
      </c>
      <c r="X116" s="11">
        <f>+IF(C116=$B116,Pesos!$L$3,0)*IF(COUNTIF($C116:$W116,C116)=1,2,1)</f>
        <v>0</v>
      </c>
      <c r="Y116" s="11">
        <f>+IF(D116=$B116,Pesos!$L$3,0)*IF(COUNTIF($C116:$W116,D116)=1,2,1)</f>
        <v>0</v>
      </c>
      <c r="Z116" s="11">
        <f>+IF(E116=$B116,Pesos!$L$3,0)*IF(COUNTIF($C116:$W116,E116)=1,2,1)</f>
        <v>0</v>
      </c>
      <c r="AA116" s="11">
        <f>+IF(F116=$B116,Pesos!$L$3,0)*IF(COUNTIF($C116:$W116,F116)=1,2,1)</f>
        <v>0</v>
      </c>
      <c r="AB116" s="11">
        <f>+IF(G116=$B116,Pesos!$L$3,0)*IF(COUNTIF($C116:$W116,G116)=1,2,1)</f>
        <v>0</v>
      </c>
      <c r="AC116" s="11">
        <f>+IF(H116=$B116,Pesos!$L$3,0)*IF(COUNTIF($C116:$W116,H116)=1,2,1)</f>
        <v>0</v>
      </c>
      <c r="AD116" s="11">
        <f>+IF(I116=$B116,Pesos!$L$3,0)*IF(COUNTIF($C116:$W116,I116)=1,2,1)</f>
        <v>0</v>
      </c>
      <c r="AE116" s="11">
        <f>+IF(J116=$B116,Pesos!$L$3,0)*IF(COUNTIF($C116:$W116,J116)=1,2,1)</f>
        <v>0</v>
      </c>
      <c r="AF116" s="11">
        <f>+IF(K116=$B116,Pesos!$L$3,0)*IF(COUNTIF($C116:$W116,K116)=1,2,1)</f>
        <v>0</v>
      </c>
      <c r="AG116" s="11">
        <f>+IF(L116=$B116,Pesos!$L$3,0)*IF(COUNTIF($C116:$W116,L116)=1,2,1)</f>
        <v>0</v>
      </c>
      <c r="AH116" s="11">
        <f>+IF(M116=$B116,Pesos!$L$3,0)*IF(COUNTIF($C116:$W116,M116)=1,2,1)</f>
        <v>0</v>
      </c>
      <c r="AI116" s="11">
        <f>+IF(N116=$B116,Pesos!$L$3,0)*IF(COUNTIF($C116:$W116,N116)=1,2,1)</f>
        <v>0</v>
      </c>
      <c r="AJ116" s="11">
        <f>+IF(O116=$B116,Pesos!$L$3,0)*IF(COUNTIF($C116:$W116,O116)=1,2,1)</f>
        <v>0</v>
      </c>
      <c r="AK116" s="11">
        <f>+IF(P116=$B116,Pesos!$L$3,0)*IF(COUNTIF($C116:$W116,P116)=1,2,1)</f>
        <v>0</v>
      </c>
      <c r="AL116" s="11">
        <f>+IF(Q116=$B116,Pesos!$L$3,0)*IF(COUNTIF($C116:$W116,Q116)=1,2,1)</f>
        <v>0</v>
      </c>
      <c r="AM116" s="11">
        <f>+IF(R116=$B116,Pesos!$L$3,0)*IF(COUNTIF($C116:$W116,R116)=1,2,1)</f>
        <v>0</v>
      </c>
      <c r="AN116" s="11">
        <f>+IF(S116=$B116,Pesos!$L$3,0)*IF(COUNTIF($C116:$W116,S116)=1,2,1)</f>
        <v>0</v>
      </c>
      <c r="AO116" s="11">
        <f>+IF(T116=$B116,Pesos!$L$3,0)*IF(COUNTIF($C116:$W116,T116)=1,2,1)</f>
        <v>0</v>
      </c>
      <c r="AP116" s="11">
        <f>+IF(U116=$B116,Pesos!$L$3,0)*IF(COUNTIF($C116:$W116,U116)=1,2,1)</f>
        <v>0</v>
      </c>
      <c r="AQ116" s="11">
        <f>+IF(V116=$B116,Pesos!$L$3,0)*IF(COUNTIF($C116:$W116,V116)=1,2,1)</f>
        <v>0</v>
      </c>
      <c r="AR116" s="11">
        <f>+IF(W116=$B116,Pesos!$L$3,0)*IF(COUNTIF($C116:$W116,W116)=1,2,1)</f>
        <v>0</v>
      </c>
    </row>
    <row r="117" ht="12.75" customHeight="1">
      <c r="A117" s="1" t="str">
        <f>'1a FASE'!A118</f>
        <v>Machtday 7</v>
      </c>
      <c r="B117" s="8" t="str">
        <f>'1a FASE'!B118</f>
        <v>Real Madrid</v>
      </c>
      <c r="C117" s="10" t="str">
        <f>'1a FASE'!C118</f>
        <v>Real Madrid</v>
      </c>
      <c r="D117" s="10" t="str">
        <f>'1a FASE'!D118</f>
        <v>Real Madrid</v>
      </c>
      <c r="E117" s="10" t="str">
        <f>'1a FASE'!E118</f>
        <v>Real Madrid</v>
      </c>
      <c r="F117" s="10" t="str">
        <f>'1a FASE'!F118</f>
        <v>Real Madrid</v>
      </c>
      <c r="G117" s="10" t="str">
        <f>'1a FASE'!G118</f>
        <v>Real Madrid</v>
      </c>
      <c r="H117" s="10" t="str">
        <f>'1a FASE'!H118</f>
        <v>Real Madrid</v>
      </c>
      <c r="I117" s="10" t="str">
        <f>'1a FASE'!I118</f>
        <v>Real Madrid</v>
      </c>
      <c r="J117" s="10" t="str">
        <f>'1a FASE'!J118</f>
        <v>Real Madrid</v>
      </c>
      <c r="K117" s="10" t="str">
        <f>'1a FASE'!K118</f>
        <v>Real Madrid</v>
      </c>
      <c r="L117" s="10" t="str">
        <f>'1a FASE'!L118</f>
        <v>Real Madrid</v>
      </c>
      <c r="M117" s="10" t="str">
        <f>'1a FASE'!M118</f>
        <v>Real Madrid</v>
      </c>
      <c r="N117" s="10" t="str">
        <f>'1a FASE'!N118</f>
        <v>Real Madrid</v>
      </c>
      <c r="O117" s="10" t="str">
        <f>'1a FASE'!O118</f>
        <v>Real Madrid</v>
      </c>
      <c r="P117" s="10" t="str">
        <f>'1a FASE'!P118</f>
        <v>Real Madrid</v>
      </c>
      <c r="Q117" s="10" t="str">
        <f>'1a FASE'!Q118</f>
        <v>Real Madrid</v>
      </c>
      <c r="R117" s="10" t="str">
        <f>'1a FASE'!R118</f>
        <v>Real Madrid</v>
      </c>
      <c r="S117" s="10" t="str">
        <f>'1a FASE'!S118</f>
        <v>Real Madrid</v>
      </c>
      <c r="T117" s="10" t="str">
        <f>'1a FASE'!T118</f>
        <v>Real Madrid</v>
      </c>
      <c r="U117" s="10" t="str">
        <f>'1a FASE'!U118</f>
        <v>Real Madrid</v>
      </c>
      <c r="V117" s="10" t="str">
        <f>'1a FASE'!V118</f>
        <v>Real Madrid</v>
      </c>
      <c r="W117" s="10" t="str">
        <f>'1a FASE'!W118</f>
        <v>Real Madrid</v>
      </c>
      <c r="X117" s="10">
        <f>+IF(C117=$B117,Pesos!$L$3,0)*IF(COUNTIF($C117:$W117,C117)=1,2,1)</f>
        <v>0.85</v>
      </c>
      <c r="Y117" s="10">
        <f>+IF(D117=$B117,Pesos!$L$3,0)*IF(COUNTIF($C117:$W117,D117)=1,2,1)</f>
        <v>0.85</v>
      </c>
      <c r="Z117" s="10">
        <f>+IF(E117=$B117,Pesos!$L$3,0)*IF(COUNTIF($C117:$W117,E117)=1,2,1)</f>
        <v>0.85</v>
      </c>
      <c r="AA117" s="10">
        <f>+IF(F117=$B117,Pesos!$L$3,0)*IF(COUNTIF($C117:$W117,F117)=1,2,1)</f>
        <v>0.85</v>
      </c>
      <c r="AB117" s="10">
        <f>+IF(G117=$B117,Pesos!$L$3,0)*IF(COUNTIF($C117:$W117,G117)=1,2,1)</f>
        <v>0.85</v>
      </c>
      <c r="AC117" s="10">
        <f>+IF(H117=$B117,Pesos!$L$3,0)*IF(COUNTIF($C117:$W117,H117)=1,2,1)</f>
        <v>0.85</v>
      </c>
      <c r="AD117" s="10">
        <f>+IF(I117=$B117,Pesos!$L$3,0)*IF(COUNTIF($C117:$W117,I117)=1,2,1)</f>
        <v>0.85</v>
      </c>
      <c r="AE117" s="10">
        <f>+IF(J117=$B117,Pesos!$L$3,0)*IF(COUNTIF($C117:$W117,J117)=1,2,1)</f>
        <v>0.85</v>
      </c>
      <c r="AF117" s="10">
        <f>+IF(K117=$B117,Pesos!$L$3,0)*IF(COUNTIF($C117:$W117,K117)=1,2,1)</f>
        <v>0.85</v>
      </c>
      <c r="AG117" s="10">
        <f>+IF(L117=$B117,Pesos!$L$3,0)*IF(COUNTIF($C117:$W117,L117)=1,2,1)</f>
        <v>0.85</v>
      </c>
      <c r="AH117" s="10">
        <f>+IF(M117=$B117,Pesos!$L$3,0)*IF(COUNTIF($C117:$W117,M117)=1,2,1)</f>
        <v>0.85</v>
      </c>
      <c r="AI117" s="10">
        <f>+IF(N117=$B117,Pesos!$L$3,0)*IF(COUNTIF($C117:$W117,N117)=1,2,1)</f>
        <v>0.85</v>
      </c>
      <c r="AJ117" s="10">
        <f>+IF(O117=$B117,Pesos!$L$3,0)*IF(COUNTIF($C117:$W117,O117)=1,2,1)</f>
        <v>0.85</v>
      </c>
      <c r="AK117" s="10">
        <f>+IF(P117=$B117,Pesos!$L$3,0)*IF(COUNTIF($C117:$W117,P117)=1,2,1)</f>
        <v>0.85</v>
      </c>
      <c r="AL117" s="10">
        <f>+IF(Q117=$B117,Pesos!$L$3,0)*IF(COUNTIF($C117:$W117,Q117)=1,2,1)</f>
        <v>0.85</v>
      </c>
      <c r="AM117" s="10">
        <f>+IF(R117=$B117,Pesos!$L$3,0)*IF(COUNTIF($C117:$W117,R117)=1,2,1)</f>
        <v>0.85</v>
      </c>
      <c r="AN117" s="10">
        <f>+IF(S117=$B117,Pesos!$L$3,0)*IF(COUNTIF($C117:$W117,S117)=1,2,1)</f>
        <v>0.85</v>
      </c>
      <c r="AO117" s="10">
        <f>+IF(T117=$B117,Pesos!$L$3,0)*IF(COUNTIF($C117:$W117,T117)=1,2,1)</f>
        <v>0.85</v>
      </c>
      <c r="AP117" s="10">
        <f>+IF(U117=$B117,Pesos!$L$3,0)*IF(COUNTIF($C117:$W117,U117)=1,2,1)</f>
        <v>0.85</v>
      </c>
      <c r="AQ117" s="10">
        <f>+IF(V117=$B117,Pesos!$L$3,0)*IF(COUNTIF($C117:$W117,V117)=1,2,1)</f>
        <v>0.85</v>
      </c>
      <c r="AR117" s="10">
        <f>+IF(W117=$B117,Pesos!$L$3,0)*IF(COUNTIF($C117:$W117,W117)=1,2,1)</f>
        <v>0.85</v>
      </c>
    </row>
    <row r="118" ht="12.75" customHeight="1">
      <c r="A118" s="1" t="str">
        <f>'1a FASE'!A119</f>
        <v>Machtday 7</v>
      </c>
      <c r="B118" s="8" t="str">
        <f>'1a FASE'!B119</f>
        <v>Arsenal</v>
      </c>
      <c r="C118" s="11" t="str">
        <f>'1a FASE'!C119</f>
        <v>Internazionale</v>
      </c>
      <c r="D118" s="11" t="str">
        <f>'1a FASE'!D119</f>
        <v>Internazionale</v>
      </c>
      <c r="E118" s="11" t="str">
        <f>'1a FASE'!E119</f>
        <v>Arsenal</v>
      </c>
      <c r="F118" s="11" t="str">
        <f>'1a FASE'!F119</f>
        <v>Arsenal</v>
      </c>
      <c r="G118" s="11" t="str">
        <f>'1a FASE'!G119</f>
        <v>Internazionale</v>
      </c>
      <c r="H118" s="11" t="str">
        <f>'1a FASE'!H119</f>
        <v>Arsenal</v>
      </c>
      <c r="I118" s="11" t="str">
        <f>'1a FASE'!I119</f>
        <v>Internazionale</v>
      </c>
      <c r="J118" s="11" t="str">
        <f>'1a FASE'!J119</f>
        <v>Internazionale</v>
      </c>
      <c r="K118" s="11" t="str">
        <f>'1a FASE'!K119</f>
        <v>Internazionale</v>
      </c>
      <c r="L118" s="11" t="str">
        <f>'1a FASE'!L119</f>
        <v>Internazionale</v>
      </c>
      <c r="M118" s="11" t="str">
        <f>'1a FASE'!M119</f>
        <v>Arsenal</v>
      </c>
      <c r="N118" s="11" t="str">
        <f>'1a FASE'!N119</f>
        <v>Arsenal</v>
      </c>
      <c r="O118" s="11" t="str">
        <f>'1a FASE'!O119</f>
        <v>Internazionale</v>
      </c>
      <c r="P118" s="11" t="str">
        <f>'1a FASE'!P119</f>
        <v>Internazionale</v>
      </c>
      <c r="Q118" s="11" t="str">
        <f>'1a FASE'!Q119</f>
        <v>Internazionale</v>
      </c>
      <c r="R118" s="11" t="str">
        <f>'1a FASE'!R119</f>
        <v>Internazionale</v>
      </c>
      <c r="S118" s="11" t="str">
        <f>'1a FASE'!S119</f>
        <v>Internazionale</v>
      </c>
      <c r="T118" s="11" t="str">
        <f>'1a FASE'!T119</f>
        <v>Internazionale</v>
      </c>
      <c r="U118" s="11" t="str">
        <f>'1a FASE'!U119</f>
        <v>Internazionale</v>
      </c>
      <c r="V118" s="11" t="str">
        <f>'1a FASE'!V119</f>
        <v>Internazionale</v>
      </c>
      <c r="W118" s="11" t="str">
        <f>'1a FASE'!W119</f>
        <v>Arsenal</v>
      </c>
      <c r="X118" s="11">
        <f>+IF(C118=$B118,Pesos!$L$3,0)*IF(COUNTIF($C118:$W118,C118)=1,2,1)</f>
        <v>0</v>
      </c>
      <c r="Y118" s="11">
        <f>+IF(D118=$B118,Pesos!$L$3,0)*IF(COUNTIF($C118:$W118,D118)=1,2,1)</f>
        <v>0</v>
      </c>
      <c r="Z118" s="11">
        <f>+IF(E118=$B118,Pesos!$L$3,0)*IF(COUNTIF($C118:$W118,E118)=1,2,1)</f>
        <v>0.85</v>
      </c>
      <c r="AA118" s="11">
        <f>+IF(F118=$B118,Pesos!$L$3,0)*IF(COUNTIF($C118:$W118,F118)=1,2,1)</f>
        <v>0.85</v>
      </c>
      <c r="AB118" s="11">
        <f>+IF(G118=$B118,Pesos!$L$3,0)*IF(COUNTIF($C118:$W118,G118)=1,2,1)</f>
        <v>0</v>
      </c>
      <c r="AC118" s="11">
        <f>+IF(H118=$B118,Pesos!$L$3,0)*IF(COUNTIF($C118:$W118,H118)=1,2,1)</f>
        <v>0.85</v>
      </c>
      <c r="AD118" s="11">
        <f>+IF(I118=$B118,Pesos!$L$3,0)*IF(COUNTIF($C118:$W118,I118)=1,2,1)</f>
        <v>0</v>
      </c>
      <c r="AE118" s="11">
        <f>+IF(J118=$B118,Pesos!$L$3,0)*IF(COUNTIF($C118:$W118,J118)=1,2,1)</f>
        <v>0</v>
      </c>
      <c r="AF118" s="11">
        <f>+IF(K118=$B118,Pesos!$L$3,0)*IF(COUNTIF($C118:$W118,K118)=1,2,1)</f>
        <v>0</v>
      </c>
      <c r="AG118" s="11">
        <f>+IF(L118=$B118,Pesos!$L$3,0)*IF(COUNTIF($C118:$W118,L118)=1,2,1)</f>
        <v>0</v>
      </c>
      <c r="AH118" s="11">
        <f>+IF(M118=$B118,Pesos!$L$3,0)*IF(COUNTIF($C118:$W118,M118)=1,2,1)</f>
        <v>0.85</v>
      </c>
      <c r="AI118" s="11">
        <f>+IF(N118=$B118,Pesos!$L$3,0)*IF(COUNTIF($C118:$W118,N118)=1,2,1)</f>
        <v>0.85</v>
      </c>
      <c r="AJ118" s="11">
        <f>+IF(O118=$B118,Pesos!$L$3,0)*IF(COUNTIF($C118:$W118,O118)=1,2,1)</f>
        <v>0</v>
      </c>
      <c r="AK118" s="11">
        <f>+IF(P118=$B118,Pesos!$L$3,0)*IF(COUNTIF($C118:$W118,P118)=1,2,1)</f>
        <v>0</v>
      </c>
      <c r="AL118" s="11">
        <f>+IF(Q118=$B118,Pesos!$L$3,0)*IF(COUNTIF($C118:$W118,Q118)=1,2,1)</f>
        <v>0</v>
      </c>
      <c r="AM118" s="11">
        <f>+IF(R118=$B118,Pesos!$L$3,0)*IF(COUNTIF($C118:$W118,R118)=1,2,1)</f>
        <v>0</v>
      </c>
      <c r="AN118" s="11">
        <f>+IF(S118=$B118,Pesos!$L$3,0)*IF(COUNTIF($C118:$W118,S118)=1,2,1)</f>
        <v>0</v>
      </c>
      <c r="AO118" s="11">
        <f>+IF(T118=$B118,Pesos!$L$3,0)*IF(COUNTIF($C118:$W118,T118)=1,2,1)</f>
        <v>0</v>
      </c>
      <c r="AP118" s="11">
        <f>+IF(U118=$B118,Pesos!$L$3,0)*IF(COUNTIF($C118:$W118,U118)=1,2,1)</f>
        <v>0</v>
      </c>
      <c r="AQ118" s="11">
        <f>+IF(V118=$B118,Pesos!$L$3,0)*IF(COUNTIF($C118:$W118,V118)=1,2,1)</f>
        <v>0</v>
      </c>
      <c r="AR118" s="11">
        <f>+IF(W118=$B118,Pesos!$L$3,0)*IF(COUNTIF($C118:$W118,W118)=1,2,1)</f>
        <v>0.85</v>
      </c>
    </row>
    <row r="119" ht="12.75" customHeight="1">
      <c r="A119" s="1" t="str">
        <f>'1a FASE'!A120</f>
        <v>Machtday 7</v>
      </c>
      <c r="B119" s="8" t="str">
        <f>'1a FASE'!B120</f>
        <v>Ajax</v>
      </c>
      <c r="C119" s="10" t="str">
        <f>'1a FASE'!C120</f>
        <v>Villarreal</v>
      </c>
      <c r="D119" s="10" t="str">
        <f>'1a FASE'!D120</f>
        <v>Villarreal</v>
      </c>
      <c r="E119" s="10" t="str">
        <f>'1a FASE'!E120</f>
        <v>Ajax</v>
      </c>
      <c r="F119" s="10" t="str">
        <f>'1a FASE'!F120</f>
        <v>Ajax</v>
      </c>
      <c r="G119" s="10" t="str">
        <f>'1a FASE'!G120</f>
        <v>Villarreal</v>
      </c>
      <c r="H119" s="10" t="str">
        <f>'1a FASE'!H120</f>
        <v>Villarreal</v>
      </c>
      <c r="I119" s="10" t="str">
        <f>'1a FASE'!I120</f>
        <v>Villarreal</v>
      </c>
      <c r="J119" s="10" t="str">
        <f>'1a FASE'!J120</f>
        <v>Villarreal</v>
      </c>
      <c r="K119" s="10" t="str">
        <f>'1a FASE'!K120</f>
        <v>Empate</v>
      </c>
      <c r="L119" s="10" t="str">
        <f>'1a FASE'!L120</f>
        <v>Empate</v>
      </c>
      <c r="M119" s="10" t="str">
        <f>'1a FASE'!M120</f>
        <v>Empate</v>
      </c>
      <c r="N119" s="10" t="str">
        <f>'1a FASE'!N120</f>
        <v>Villarreal</v>
      </c>
      <c r="O119" s="10" t="str">
        <f>'1a FASE'!O120</f>
        <v>Ajax</v>
      </c>
      <c r="P119" s="10" t="str">
        <f>'1a FASE'!P120</f>
        <v>Villarreal</v>
      </c>
      <c r="Q119" s="10" t="str">
        <f>'1a FASE'!Q120</f>
        <v>Villarreal</v>
      </c>
      <c r="R119" s="10" t="str">
        <f>'1a FASE'!R120</f>
        <v>Villarreal</v>
      </c>
      <c r="S119" s="10" t="str">
        <f>'1a FASE'!S120</f>
        <v>Empate</v>
      </c>
      <c r="T119" s="10" t="str">
        <f>'1a FASE'!T120</f>
        <v>Villarreal</v>
      </c>
      <c r="U119" s="10" t="str">
        <f>'1a FASE'!U120</f>
        <v>Empate</v>
      </c>
      <c r="V119" s="10" t="str">
        <f>'1a FASE'!V120</f>
        <v>Ajax</v>
      </c>
      <c r="W119" s="10" t="str">
        <f>'1a FASE'!W120</f>
        <v>Empate</v>
      </c>
      <c r="X119" s="10">
        <f>+IF(C119=$B119,Pesos!$L$3,0)*IF(COUNTIF($C119:$W119,C119)=1,2,1)</f>
        <v>0</v>
      </c>
      <c r="Y119" s="10">
        <f>+IF(D119=$B119,Pesos!$L$3,0)*IF(COUNTIF($C119:$W119,D119)=1,2,1)</f>
        <v>0</v>
      </c>
      <c r="Z119" s="10">
        <f>+IF(E119=$B119,Pesos!$L$3,0)*IF(COUNTIF($C119:$W119,E119)=1,2,1)</f>
        <v>0.85</v>
      </c>
      <c r="AA119" s="10">
        <f>+IF(F119=$B119,Pesos!$L$3,0)*IF(COUNTIF($C119:$W119,F119)=1,2,1)</f>
        <v>0.85</v>
      </c>
      <c r="AB119" s="10">
        <f>+IF(G119=$B119,Pesos!$L$3,0)*IF(COUNTIF($C119:$W119,G119)=1,2,1)</f>
        <v>0</v>
      </c>
      <c r="AC119" s="10">
        <f>+IF(H119=$B119,Pesos!$L$3,0)*IF(COUNTIF($C119:$W119,H119)=1,2,1)</f>
        <v>0</v>
      </c>
      <c r="AD119" s="10">
        <f>+IF(I119=$B119,Pesos!$L$3,0)*IF(COUNTIF($C119:$W119,I119)=1,2,1)</f>
        <v>0</v>
      </c>
      <c r="AE119" s="10">
        <f>+IF(J119=$B119,Pesos!$L$3,0)*IF(COUNTIF($C119:$W119,J119)=1,2,1)</f>
        <v>0</v>
      </c>
      <c r="AF119" s="10">
        <f>+IF(K119=$B119,Pesos!$L$3,0)*IF(COUNTIF($C119:$W119,K119)=1,2,1)</f>
        <v>0</v>
      </c>
      <c r="AG119" s="10">
        <f>+IF(L119=$B119,Pesos!$L$3,0)*IF(COUNTIF($C119:$W119,L119)=1,2,1)</f>
        <v>0</v>
      </c>
      <c r="AH119" s="10">
        <f>+IF(M119=$B119,Pesos!$L$3,0)*IF(COUNTIF($C119:$W119,M119)=1,2,1)</f>
        <v>0</v>
      </c>
      <c r="AI119" s="10">
        <f>+IF(N119=$B119,Pesos!$L$3,0)*IF(COUNTIF($C119:$W119,N119)=1,2,1)</f>
        <v>0</v>
      </c>
      <c r="AJ119" s="10">
        <f>+IF(O119=$B119,Pesos!$L$3,0)*IF(COUNTIF($C119:$W119,O119)=1,2,1)</f>
        <v>0.85</v>
      </c>
      <c r="AK119" s="10">
        <f>+IF(P119=$B119,Pesos!$L$3,0)*IF(COUNTIF($C119:$W119,P119)=1,2,1)</f>
        <v>0</v>
      </c>
      <c r="AL119" s="10">
        <f>+IF(Q119=$B119,Pesos!$L$3,0)*IF(COUNTIF($C119:$W119,Q119)=1,2,1)</f>
        <v>0</v>
      </c>
      <c r="AM119" s="10">
        <f>+IF(R119=$B119,Pesos!$L$3,0)*IF(COUNTIF($C119:$W119,R119)=1,2,1)</f>
        <v>0</v>
      </c>
      <c r="AN119" s="10">
        <f>+IF(S119=$B119,Pesos!$L$3,0)*IF(COUNTIF($C119:$W119,S119)=1,2,1)</f>
        <v>0</v>
      </c>
      <c r="AO119" s="10">
        <f>+IF(T119=$B119,Pesos!$L$3,0)*IF(COUNTIF($C119:$W119,T119)=1,2,1)</f>
        <v>0</v>
      </c>
      <c r="AP119" s="10">
        <f>+IF(U119=$B119,Pesos!$L$3,0)*IF(COUNTIF($C119:$W119,U119)=1,2,1)</f>
        <v>0</v>
      </c>
      <c r="AQ119" s="10">
        <f>+IF(V119=$B119,Pesos!$L$3,0)*IF(COUNTIF($C119:$W119,V119)=1,2,1)</f>
        <v>0.85</v>
      </c>
      <c r="AR119" s="10">
        <f>+IF(W119=$B119,Pesos!$L$3,0)*IF(COUNTIF($C119:$W119,W119)=1,2,1)</f>
        <v>0</v>
      </c>
    </row>
    <row r="120" ht="12.75" customHeight="1">
      <c r="A120" s="1" t="str">
        <f>'1a FASE'!A121</f>
        <v>Machtday 7</v>
      </c>
      <c r="B120" s="8" t="str">
        <f>'1a FASE'!B121</f>
        <v>Tottenham</v>
      </c>
      <c r="C120" s="11" t="str">
        <f>'1a FASE'!C121</f>
        <v>Tottenham</v>
      </c>
      <c r="D120" s="11" t="str">
        <f>'1a FASE'!D121</f>
        <v>Borussia Dortmund</v>
      </c>
      <c r="E120" s="11" t="str">
        <f>'1a FASE'!E121</f>
        <v>Empate</v>
      </c>
      <c r="F120" s="11" t="str">
        <f>'1a FASE'!F121</f>
        <v>Tottenham</v>
      </c>
      <c r="G120" s="11" t="str">
        <f>'1a FASE'!G121</f>
        <v>Empate</v>
      </c>
      <c r="H120" s="11" t="str">
        <f>'1a FASE'!H121</f>
        <v>Tottenham</v>
      </c>
      <c r="I120" s="11" t="str">
        <f>'1a FASE'!I121</f>
        <v>Borussia Dortmund</v>
      </c>
      <c r="J120" s="11" t="str">
        <f>'1a FASE'!J121</f>
        <v>Tottenham</v>
      </c>
      <c r="K120" s="11" t="str">
        <f>'1a FASE'!K121</f>
        <v>Tottenham</v>
      </c>
      <c r="L120" s="11" t="str">
        <f>'1a FASE'!L121</f>
        <v>Tottenham</v>
      </c>
      <c r="M120" s="11" t="str">
        <f>'1a FASE'!M121</f>
        <v>Empate</v>
      </c>
      <c r="N120" s="11" t="str">
        <f>'1a FASE'!N121</f>
        <v>Tottenham</v>
      </c>
      <c r="O120" s="11" t="str">
        <f>'1a FASE'!O121</f>
        <v>Empate</v>
      </c>
      <c r="P120" s="11" t="str">
        <f>'1a FASE'!P121</f>
        <v>Tottenham</v>
      </c>
      <c r="Q120" s="11" t="str">
        <f>'1a FASE'!Q121</f>
        <v>Tottenham</v>
      </c>
      <c r="R120" s="11" t="str">
        <f>'1a FASE'!R121</f>
        <v>Tottenham</v>
      </c>
      <c r="S120" s="11" t="str">
        <f>'1a FASE'!S121</f>
        <v>Empate</v>
      </c>
      <c r="T120" s="11" t="str">
        <f>'1a FASE'!T121</f>
        <v>Tottenham</v>
      </c>
      <c r="U120" s="11" t="str">
        <f>'1a FASE'!U121</f>
        <v>Tottenham</v>
      </c>
      <c r="V120" s="11" t="str">
        <f>'1a FASE'!V121</f>
        <v>Tottenham</v>
      </c>
      <c r="W120" s="11" t="str">
        <f>'1a FASE'!W121</f>
        <v>Empate</v>
      </c>
      <c r="X120" s="11">
        <f>+IF(C120=$B120,Pesos!$L$3,0)*IF(COUNTIF($C120:$W120,C120)=1,2,1)</f>
        <v>0.85</v>
      </c>
      <c r="Y120" s="11">
        <f>+IF(D120=$B120,Pesos!$L$3,0)*IF(COUNTIF($C120:$W120,D120)=1,2,1)</f>
        <v>0</v>
      </c>
      <c r="Z120" s="11">
        <f>+IF(E120=$B120,Pesos!$L$3,0)*IF(COUNTIF($C120:$W120,E120)=1,2,1)</f>
        <v>0</v>
      </c>
      <c r="AA120" s="11">
        <f>+IF(F120=$B120,Pesos!$L$3,0)*IF(COUNTIF($C120:$W120,F120)=1,2,1)</f>
        <v>0.85</v>
      </c>
      <c r="AB120" s="11">
        <f>+IF(G120=$B120,Pesos!$L$3,0)*IF(COUNTIF($C120:$W120,G120)=1,2,1)</f>
        <v>0</v>
      </c>
      <c r="AC120" s="11">
        <f>+IF(H120=$B120,Pesos!$L$3,0)*IF(COUNTIF($C120:$W120,H120)=1,2,1)</f>
        <v>0.85</v>
      </c>
      <c r="AD120" s="11">
        <f>+IF(I120=$B120,Pesos!$L$3,0)*IF(COUNTIF($C120:$W120,I120)=1,2,1)</f>
        <v>0</v>
      </c>
      <c r="AE120" s="11">
        <f>+IF(J120=$B120,Pesos!$L$3,0)*IF(COUNTIF($C120:$W120,J120)=1,2,1)</f>
        <v>0.85</v>
      </c>
      <c r="AF120" s="11">
        <f>+IF(K120=$B120,Pesos!$L$3,0)*IF(COUNTIF($C120:$W120,K120)=1,2,1)</f>
        <v>0.85</v>
      </c>
      <c r="AG120" s="11">
        <f>+IF(L120=$B120,Pesos!$L$3,0)*IF(COUNTIF($C120:$W120,L120)=1,2,1)</f>
        <v>0.85</v>
      </c>
      <c r="AH120" s="11">
        <f>+IF(M120=$B120,Pesos!$L$3,0)*IF(COUNTIF($C120:$W120,M120)=1,2,1)</f>
        <v>0</v>
      </c>
      <c r="AI120" s="11">
        <f>+IF(N120=$B120,Pesos!$L$3,0)*IF(COUNTIF($C120:$W120,N120)=1,2,1)</f>
        <v>0.85</v>
      </c>
      <c r="AJ120" s="11">
        <f>+IF(O120=$B120,Pesos!$L$3,0)*IF(COUNTIF($C120:$W120,O120)=1,2,1)</f>
        <v>0</v>
      </c>
      <c r="AK120" s="11">
        <f>+IF(P120=$B120,Pesos!$L$3,0)*IF(COUNTIF($C120:$W120,P120)=1,2,1)</f>
        <v>0.85</v>
      </c>
      <c r="AL120" s="11">
        <f>+IF(Q120=$B120,Pesos!$L$3,0)*IF(COUNTIF($C120:$W120,Q120)=1,2,1)</f>
        <v>0.85</v>
      </c>
      <c r="AM120" s="11">
        <f>+IF(R120=$B120,Pesos!$L$3,0)*IF(COUNTIF($C120:$W120,R120)=1,2,1)</f>
        <v>0.85</v>
      </c>
      <c r="AN120" s="11">
        <f>+IF(S120=$B120,Pesos!$L$3,0)*IF(COUNTIF($C120:$W120,S120)=1,2,1)</f>
        <v>0</v>
      </c>
      <c r="AO120" s="11">
        <f>+IF(T120=$B120,Pesos!$L$3,0)*IF(COUNTIF($C120:$W120,T120)=1,2,1)</f>
        <v>0.85</v>
      </c>
      <c r="AP120" s="11">
        <f>+IF(U120=$B120,Pesos!$L$3,0)*IF(COUNTIF($C120:$W120,U120)=1,2,1)</f>
        <v>0.85</v>
      </c>
      <c r="AQ120" s="11">
        <f>+IF(V120=$B120,Pesos!$L$3,0)*IF(COUNTIF($C120:$W120,V120)=1,2,1)</f>
        <v>0.85</v>
      </c>
      <c r="AR120" s="11">
        <f>+IF(W120=$B120,Pesos!$L$3,0)*IF(COUNTIF($C120:$W120,W120)=1,2,1)</f>
        <v>0</v>
      </c>
    </row>
    <row r="121" ht="12.75" customHeight="1">
      <c r="A121" s="1" t="str">
        <f>'1a FASE'!A122</f>
        <v>Machtday 7</v>
      </c>
      <c r="B121" s="8" t="str">
        <f>'1a FASE'!B122</f>
        <v>Sporting</v>
      </c>
      <c r="C121" s="10" t="str">
        <f>'1a FASE'!C122</f>
        <v>Paris Saint-Germain</v>
      </c>
      <c r="D121" s="10" t="str">
        <f>'1a FASE'!D122</f>
        <v>Paris Saint-Germain</v>
      </c>
      <c r="E121" s="10" t="str">
        <f>'1a FASE'!E122</f>
        <v>Paris Saint-Germain</v>
      </c>
      <c r="F121" s="10" t="str">
        <f>'1a FASE'!F122</f>
        <v>Paris Saint-Germain</v>
      </c>
      <c r="G121" s="10" t="str">
        <f>'1a FASE'!G122</f>
        <v>Paris Saint-Germain</v>
      </c>
      <c r="H121" s="10" t="str">
        <f>'1a FASE'!H122</f>
        <v>Paris Saint-Germain</v>
      </c>
      <c r="I121" s="10" t="str">
        <f>'1a FASE'!I122</f>
        <v>Paris Saint-Germain</v>
      </c>
      <c r="J121" s="10" t="str">
        <f>'1a FASE'!J122</f>
        <v>Paris Saint-Germain</v>
      </c>
      <c r="K121" s="10" t="str">
        <f>'1a FASE'!K122</f>
        <v>Paris Saint-Germain</v>
      </c>
      <c r="L121" s="10" t="str">
        <f>'1a FASE'!L122</f>
        <v>Empate</v>
      </c>
      <c r="M121" s="10" t="str">
        <f>'1a FASE'!M122</f>
        <v>Paris Saint-Germain</v>
      </c>
      <c r="N121" s="10" t="str">
        <f>'1a FASE'!N122</f>
        <v>Paris Saint-Germain</v>
      </c>
      <c r="O121" s="10" t="str">
        <f>'1a FASE'!O122</f>
        <v>Paris Saint-Germain</v>
      </c>
      <c r="P121" s="10" t="str">
        <f>'1a FASE'!P122</f>
        <v>Paris Saint-Germain</v>
      </c>
      <c r="Q121" s="10" t="str">
        <f>'1a FASE'!Q122</f>
        <v>Paris Saint-Germain</v>
      </c>
      <c r="R121" s="10" t="str">
        <f>'1a FASE'!R122</f>
        <v>Empate</v>
      </c>
      <c r="S121" s="10" t="str">
        <f>'1a FASE'!S122</f>
        <v>Paris Saint-Germain</v>
      </c>
      <c r="T121" s="10" t="str">
        <f>'1a FASE'!T122</f>
        <v>Sporting</v>
      </c>
      <c r="U121" s="10" t="str">
        <f>'1a FASE'!U122</f>
        <v>Paris Saint-Germain</v>
      </c>
      <c r="V121" s="10" t="str">
        <f>'1a FASE'!V122</f>
        <v>Paris Saint-Germain</v>
      </c>
      <c r="W121" s="10" t="str">
        <f>'1a FASE'!W122</f>
        <v>Paris Saint-Germain</v>
      </c>
      <c r="X121" s="10">
        <f>+IF(C121=$B121,Pesos!$L$3,0)*IF(COUNTIF($C121:$W121,C121)=1,2,1)</f>
        <v>0</v>
      </c>
      <c r="Y121" s="10">
        <f>+IF(D121=$B121,Pesos!$L$3,0)*IF(COUNTIF($C121:$W121,D121)=1,2,1)</f>
        <v>0</v>
      </c>
      <c r="Z121" s="10">
        <f>+IF(E121=$B121,Pesos!$L$3,0)*IF(COUNTIF($C121:$W121,E121)=1,2,1)</f>
        <v>0</v>
      </c>
      <c r="AA121" s="10">
        <f>+IF(F121=$B121,Pesos!$L$3,0)*IF(COUNTIF($C121:$W121,F121)=1,2,1)</f>
        <v>0</v>
      </c>
      <c r="AB121" s="10">
        <f>+IF(G121=$B121,Pesos!$L$3,0)*IF(COUNTIF($C121:$W121,G121)=1,2,1)</f>
        <v>0</v>
      </c>
      <c r="AC121" s="10">
        <f>+IF(H121=$B121,Pesos!$L$3,0)*IF(COUNTIF($C121:$W121,H121)=1,2,1)</f>
        <v>0</v>
      </c>
      <c r="AD121" s="10">
        <f>+IF(I121=$B121,Pesos!$L$3,0)*IF(COUNTIF($C121:$W121,I121)=1,2,1)</f>
        <v>0</v>
      </c>
      <c r="AE121" s="10">
        <f>+IF(J121=$B121,Pesos!$L$3,0)*IF(COUNTIF($C121:$W121,J121)=1,2,1)</f>
        <v>0</v>
      </c>
      <c r="AF121" s="10">
        <f>+IF(K121=$B121,Pesos!$L$3,0)*IF(COUNTIF($C121:$W121,K121)=1,2,1)</f>
        <v>0</v>
      </c>
      <c r="AG121" s="10">
        <f>+IF(L121=$B121,Pesos!$L$3,0)*IF(COUNTIF($C121:$W121,L121)=1,2,1)</f>
        <v>0</v>
      </c>
      <c r="AH121" s="10">
        <f>+IF(M121=$B121,Pesos!$L$3,0)*IF(COUNTIF($C121:$W121,M121)=1,2,1)</f>
        <v>0</v>
      </c>
      <c r="AI121" s="10">
        <f>+IF(N121=$B121,Pesos!$L$3,0)*IF(COUNTIF($C121:$W121,N121)=1,2,1)</f>
        <v>0</v>
      </c>
      <c r="AJ121" s="10">
        <f>+IF(O121=$B121,Pesos!$L$3,0)*IF(COUNTIF($C121:$W121,O121)=1,2,1)</f>
        <v>0</v>
      </c>
      <c r="AK121" s="10">
        <f>+IF(P121=$B121,Pesos!$L$3,0)*IF(COUNTIF($C121:$W121,P121)=1,2,1)</f>
        <v>0</v>
      </c>
      <c r="AL121" s="10">
        <f>+IF(Q121=$B121,Pesos!$L$3,0)*IF(COUNTIF($C121:$W121,Q121)=1,2,1)</f>
        <v>0</v>
      </c>
      <c r="AM121" s="10">
        <f>+IF(R121=$B121,Pesos!$L$3,0)*IF(COUNTIF($C121:$W121,R121)=1,2,1)</f>
        <v>0</v>
      </c>
      <c r="AN121" s="10">
        <f>+IF(S121=$B121,Pesos!$L$3,0)*IF(COUNTIF($C121:$W121,S121)=1,2,1)</f>
        <v>0</v>
      </c>
      <c r="AO121" s="10">
        <f>+IF(T121=$B121,Pesos!$L$3,0)*IF(COUNTIF($C121:$W121,T121)=1,2,1)</f>
        <v>1.7</v>
      </c>
      <c r="AP121" s="10">
        <f>+IF(U121=$B121,Pesos!$L$3,0)*IF(COUNTIF($C121:$W121,U121)=1,2,1)</f>
        <v>0</v>
      </c>
      <c r="AQ121" s="10">
        <f>+IF(V121=$B121,Pesos!$L$3,0)*IF(COUNTIF($C121:$W121,V121)=1,2,1)</f>
        <v>0</v>
      </c>
      <c r="AR121" s="10">
        <f>+IF(W121=$B121,Pesos!$L$3,0)*IF(COUNTIF($C121:$W121,W121)=1,2,1)</f>
        <v>0</v>
      </c>
    </row>
    <row r="122" ht="12.75" customHeight="1">
      <c r="A122" s="1" t="str">
        <f>'1a FASE'!A123</f>
        <v>Machtday 7</v>
      </c>
      <c r="B122" s="8" t="str">
        <f>'1a FASE'!B123</f>
        <v>Olympiacos</v>
      </c>
      <c r="C122" s="11" t="str">
        <f>'1a FASE'!C123</f>
        <v>Bayer Leverkusen</v>
      </c>
      <c r="D122" s="11" t="str">
        <f>'1a FASE'!D123</f>
        <v>Bayer Leverkusen</v>
      </c>
      <c r="E122" s="11" t="str">
        <f>'1a FASE'!E123</f>
        <v>Bayer Leverkusen</v>
      </c>
      <c r="F122" s="11" t="str">
        <f>'1a FASE'!F123</f>
        <v>Bayer Leverkusen</v>
      </c>
      <c r="G122" s="11" t="str">
        <f>'1a FASE'!G123</f>
        <v>Empate</v>
      </c>
      <c r="H122" s="11" t="str">
        <f>'1a FASE'!H123</f>
        <v>Olympiacos</v>
      </c>
      <c r="I122" s="11" t="str">
        <f>'1a FASE'!I123</f>
        <v>Empate</v>
      </c>
      <c r="J122" s="11" t="str">
        <f>'1a FASE'!J123</f>
        <v>Bayer Leverkusen</v>
      </c>
      <c r="K122" s="11" t="str">
        <f>'1a FASE'!K123</f>
        <v>Olympiacos</v>
      </c>
      <c r="L122" s="11" t="str">
        <f>'1a FASE'!L123</f>
        <v>Bayer Leverkusen</v>
      </c>
      <c r="M122" s="11" t="str">
        <f>'1a FASE'!M123</f>
        <v>Empate</v>
      </c>
      <c r="N122" s="11" t="str">
        <f>'1a FASE'!N123</f>
        <v>Olympiacos</v>
      </c>
      <c r="O122" s="11" t="str">
        <f>'1a FASE'!O123</f>
        <v>Empate</v>
      </c>
      <c r="P122" s="11" t="str">
        <f>'1a FASE'!P123</f>
        <v>Olympiacos</v>
      </c>
      <c r="Q122" s="11" t="str">
        <f>'1a FASE'!Q123</f>
        <v>Olympiacos</v>
      </c>
      <c r="R122" s="11" t="str">
        <f>'1a FASE'!R123</f>
        <v>Olympiacos</v>
      </c>
      <c r="S122" s="11" t="str">
        <f>'1a FASE'!S123</f>
        <v>Olympiacos</v>
      </c>
      <c r="T122" s="11" t="str">
        <f>'1a FASE'!T123</f>
        <v>Olympiacos</v>
      </c>
      <c r="U122" s="11" t="str">
        <f>'1a FASE'!U123</f>
        <v>Bayer Leverkusen</v>
      </c>
      <c r="V122" s="11" t="str">
        <f>'1a FASE'!V123</f>
        <v>Bayer Leverkusen</v>
      </c>
      <c r="W122" s="11" t="str">
        <f>'1a FASE'!W123</f>
        <v>Bayer Leverkusen</v>
      </c>
      <c r="X122" s="11">
        <f>+IF(C122=$B122,Pesos!$L$3,0)*IF(COUNTIF($C122:$W122,C122)=1,2,1)</f>
        <v>0</v>
      </c>
      <c r="Y122" s="11">
        <f>+IF(D122=$B122,Pesos!$L$3,0)*IF(COUNTIF($C122:$W122,D122)=1,2,1)</f>
        <v>0</v>
      </c>
      <c r="Z122" s="11">
        <f>+IF(E122=$B122,Pesos!$L$3,0)*IF(COUNTIF($C122:$W122,E122)=1,2,1)</f>
        <v>0</v>
      </c>
      <c r="AA122" s="11">
        <f>+IF(F122=$B122,Pesos!$L$3,0)*IF(COUNTIF($C122:$W122,F122)=1,2,1)</f>
        <v>0</v>
      </c>
      <c r="AB122" s="11">
        <f>+IF(G122=$B122,Pesos!$L$3,0)*IF(COUNTIF($C122:$W122,G122)=1,2,1)</f>
        <v>0</v>
      </c>
      <c r="AC122" s="11">
        <f>+IF(H122=$B122,Pesos!$L$3,0)*IF(COUNTIF($C122:$W122,H122)=1,2,1)</f>
        <v>0.85</v>
      </c>
      <c r="AD122" s="11">
        <f>+IF(I122=$B122,Pesos!$L$3,0)*IF(COUNTIF($C122:$W122,I122)=1,2,1)</f>
        <v>0</v>
      </c>
      <c r="AE122" s="11">
        <f>+IF(J122=$B122,Pesos!$L$3,0)*IF(COUNTIF($C122:$W122,J122)=1,2,1)</f>
        <v>0</v>
      </c>
      <c r="AF122" s="11">
        <f>+IF(K122=$B122,Pesos!$L$3,0)*IF(COUNTIF($C122:$W122,K122)=1,2,1)</f>
        <v>0.85</v>
      </c>
      <c r="AG122" s="11">
        <f>+IF(L122=$B122,Pesos!$L$3,0)*IF(COUNTIF($C122:$W122,L122)=1,2,1)</f>
        <v>0</v>
      </c>
      <c r="AH122" s="11">
        <f>+IF(M122=$B122,Pesos!$L$3,0)*IF(COUNTIF($C122:$W122,M122)=1,2,1)</f>
        <v>0</v>
      </c>
      <c r="AI122" s="11">
        <f>+IF(N122=$B122,Pesos!$L$3,0)*IF(COUNTIF($C122:$W122,N122)=1,2,1)</f>
        <v>0.85</v>
      </c>
      <c r="AJ122" s="11">
        <f>+IF(O122=$B122,Pesos!$L$3,0)*IF(COUNTIF($C122:$W122,O122)=1,2,1)</f>
        <v>0</v>
      </c>
      <c r="AK122" s="11">
        <f>+IF(P122=$B122,Pesos!$L$3,0)*IF(COUNTIF($C122:$W122,P122)=1,2,1)</f>
        <v>0.85</v>
      </c>
      <c r="AL122" s="11">
        <f>+IF(Q122=$B122,Pesos!$L$3,0)*IF(COUNTIF($C122:$W122,Q122)=1,2,1)</f>
        <v>0.85</v>
      </c>
      <c r="AM122" s="11">
        <f>+IF(R122=$B122,Pesos!$L$3,0)*IF(COUNTIF($C122:$W122,R122)=1,2,1)</f>
        <v>0.85</v>
      </c>
      <c r="AN122" s="11">
        <f>+IF(S122=$B122,Pesos!$L$3,0)*IF(COUNTIF($C122:$W122,S122)=1,2,1)</f>
        <v>0.85</v>
      </c>
      <c r="AO122" s="11">
        <f>+IF(T122=$B122,Pesos!$L$3,0)*IF(COUNTIF($C122:$W122,T122)=1,2,1)</f>
        <v>0.85</v>
      </c>
      <c r="AP122" s="11">
        <f>+IF(U122=$B122,Pesos!$L$3,0)*IF(COUNTIF($C122:$W122,U122)=1,2,1)</f>
        <v>0</v>
      </c>
      <c r="AQ122" s="11">
        <f>+IF(V122=$B122,Pesos!$L$3,0)*IF(COUNTIF($C122:$W122,V122)=1,2,1)</f>
        <v>0</v>
      </c>
      <c r="AR122" s="11">
        <f>+IF(W122=$B122,Pesos!$L$3,0)*IF(COUNTIF($C122:$W122,W122)=1,2,1)</f>
        <v>0</v>
      </c>
    </row>
    <row r="123" ht="12.75" customHeight="1">
      <c r="A123" s="1" t="str">
        <f>'1a FASE'!A124</f>
        <v>Machtday 7</v>
      </c>
      <c r="B123" s="8" t="str">
        <f>'1a FASE'!B124</f>
        <v>Empate</v>
      </c>
      <c r="C123" s="10" t="str">
        <f>'1a FASE'!C124</f>
        <v>Napoli</v>
      </c>
      <c r="D123" s="10" t="str">
        <f>'1a FASE'!D124</f>
        <v>Napoli</v>
      </c>
      <c r="E123" s="10" t="str">
        <f>'1a FASE'!E124</f>
        <v>Copenhagen</v>
      </c>
      <c r="F123" s="10" t="str">
        <f>'1a FASE'!F124</f>
        <v>Empate</v>
      </c>
      <c r="G123" s="10" t="str">
        <f>'1a FASE'!G124</f>
        <v>Napoli</v>
      </c>
      <c r="H123" s="10" t="str">
        <f>'1a FASE'!H124</f>
        <v>Napoli</v>
      </c>
      <c r="I123" s="10" t="str">
        <f>'1a FASE'!I124</f>
        <v>Napoli</v>
      </c>
      <c r="J123" s="10" t="str">
        <f>'1a FASE'!J124</f>
        <v>Copenhagen</v>
      </c>
      <c r="K123" s="10" t="str">
        <f>'1a FASE'!K124</f>
        <v>Napoli</v>
      </c>
      <c r="L123" s="10" t="str">
        <f>'1a FASE'!L124</f>
        <v>Napoli</v>
      </c>
      <c r="M123" s="10" t="str">
        <f>'1a FASE'!M124</f>
        <v>Napoli</v>
      </c>
      <c r="N123" s="10" t="str">
        <f>'1a FASE'!N124</f>
        <v>Napoli</v>
      </c>
      <c r="O123" s="10" t="str">
        <f>'1a FASE'!O124</f>
        <v>Empate</v>
      </c>
      <c r="P123" s="10" t="str">
        <f>'1a FASE'!P124</f>
        <v>Napoli</v>
      </c>
      <c r="Q123" s="10" t="str">
        <f>'1a FASE'!Q124</f>
        <v>Napoli</v>
      </c>
      <c r="R123" s="10" t="str">
        <f>'1a FASE'!R124</f>
        <v>Copenhagen</v>
      </c>
      <c r="S123" s="10" t="str">
        <f>'1a FASE'!S124</f>
        <v>Napoli</v>
      </c>
      <c r="T123" s="10" t="str">
        <f>'1a FASE'!T124</f>
        <v>Napoli</v>
      </c>
      <c r="U123" s="10" t="str">
        <f>'1a FASE'!U124</f>
        <v>Napoli</v>
      </c>
      <c r="V123" s="10" t="str">
        <f>'1a FASE'!V124</f>
        <v>Copenhagen</v>
      </c>
      <c r="W123" s="10" t="str">
        <f>'1a FASE'!W124</f>
        <v>Napoli</v>
      </c>
      <c r="X123" s="10">
        <f>+IF(C123=$B123,Pesos!$L$3,0)*IF(COUNTIF($C123:$W123,C123)=1,2,1)</f>
        <v>0</v>
      </c>
      <c r="Y123" s="10">
        <f>+IF(D123=$B123,Pesos!$L$3,0)*IF(COUNTIF($C123:$W123,D123)=1,2,1)</f>
        <v>0</v>
      </c>
      <c r="Z123" s="10">
        <f>+IF(E123=$B123,Pesos!$L$3,0)*IF(COUNTIF($C123:$W123,E123)=1,2,1)</f>
        <v>0</v>
      </c>
      <c r="AA123" s="10">
        <f>+IF(F123=$B123,Pesos!$L$3,0)*IF(COUNTIF($C123:$W123,F123)=1,2,1)</f>
        <v>0.85</v>
      </c>
      <c r="AB123" s="10">
        <f>+IF(G123=$B123,Pesos!$L$3,0)*IF(COUNTIF($C123:$W123,G123)=1,2,1)</f>
        <v>0</v>
      </c>
      <c r="AC123" s="10">
        <f>+IF(H123=$B123,Pesos!$L$3,0)*IF(COUNTIF($C123:$W123,H123)=1,2,1)</f>
        <v>0</v>
      </c>
      <c r="AD123" s="10">
        <f>+IF(I123=$B123,Pesos!$L$3,0)*IF(COUNTIF($C123:$W123,I123)=1,2,1)</f>
        <v>0</v>
      </c>
      <c r="AE123" s="10">
        <f>+IF(J123=$B123,Pesos!$L$3,0)*IF(COUNTIF($C123:$W123,J123)=1,2,1)</f>
        <v>0</v>
      </c>
      <c r="AF123" s="10">
        <f>+IF(K123=$B123,Pesos!$L$3,0)*IF(COUNTIF($C123:$W123,K123)=1,2,1)</f>
        <v>0</v>
      </c>
      <c r="AG123" s="10">
        <f>+IF(L123=$B123,Pesos!$L$3,0)*IF(COUNTIF($C123:$W123,L123)=1,2,1)</f>
        <v>0</v>
      </c>
      <c r="AH123" s="10">
        <f>+IF(M123=$B123,Pesos!$L$3,0)*IF(COUNTIF($C123:$W123,M123)=1,2,1)</f>
        <v>0</v>
      </c>
      <c r="AI123" s="10">
        <f>+IF(N123=$B123,Pesos!$L$3,0)*IF(COUNTIF($C123:$W123,N123)=1,2,1)</f>
        <v>0</v>
      </c>
      <c r="AJ123" s="10">
        <f>+IF(O123=$B123,Pesos!$L$3,0)*IF(COUNTIF($C123:$W123,O123)=1,2,1)</f>
        <v>0.85</v>
      </c>
      <c r="AK123" s="10">
        <f>+IF(P123=$B123,Pesos!$L$3,0)*IF(COUNTIF($C123:$W123,P123)=1,2,1)</f>
        <v>0</v>
      </c>
      <c r="AL123" s="10">
        <f>+IF(Q123=$B123,Pesos!$L$3,0)*IF(COUNTIF($C123:$W123,Q123)=1,2,1)</f>
        <v>0</v>
      </c>
      <c r="AM123" s="10">
        <f>+IF(R123=$B123,Pesos!$L$3,0)*IF(COUNTIF($C123:$W123,R123)=1,2,1)</f>
        <v>0</v>
      </c>
      <c r="AN123" s="10">
        <f>+IF(S123=$B123,Pesos!$L$3,0)*IF(COUNTIF($C123:$W123,S123)=1,2,1)</f>
        <v>0</v>
      </c>
      <c r="AO123" s="10">
        <f>+IF(T123=$B123,Pesos!$L$3,0)*IF(COUNTIF($C123:$W123,T123)=1,2,1)</f>
        <v>0</v>
      </c>
      <c r="AP123" s="10">
        <f>+IF(U123=$B123,Pesos!$L$3,0)*IF(COUNTIF($C123:$W123,U123)=1,2,1)</f>
        <v>0</v>
      </c>
      <c r="AQ123" s="10">
        <f>+IF(V123=$B123,Pesos!$L$3,0)*IF(COUNTIF($C123:$W123,V123)=1,2,1)</f>
        <v>0</v>
      </c>
      <c r="AR123" s="10">
        <f>+IF(W123=$B123,Pesos!$L$3,0)*IF(COUNTIF($C123:$W123,W123)=1,2,1)</f>
        <v>0</v>
      </c>
    </row>
    <row r="124" ht="12.75" customHeight="1">
      <c r="A124" s="1" t="str">
        <f>'1a FASE'!A125</f>
        <v>Machtday 7</v>
      </c>
      <c r="B124" s="8" t="str">
        <f>'1a FASE'!B125</f>
        <v>Empate</v>
      </c>
      <c r="C124" s="11" t="str">
        <f>'1a FASE'!C125</f>
        <v>Atlético de Madrid</v>
      </c>
      <c r="D124" s="11" t="str">
        <f>'1a FASE'!D125</f>
        <v>Atlético de Madrid</v>
      </c>
      <c r="E124" s="11" t="str">
        <f>'1a FASE'!E125</f>
        <v>Atlético de Madrid</v>
      </c>
      <c r="F124" s="11" t="str">
        <f>'1a FASE'!F125</f>
        <v>Atlético de Madrid</v>
      </c>
      <c r="G124" s="11" t="str">
        <f>'1a FASE'!G125</f>
        <v>Empate</v>
      </c>
      <c r="H124" s="11" t="str">
        <f>'1a FASE'!H125</f>
        <v>Atlético de Madrid</v>
      </c>
      <c r="I124" s="11" t="str">
        <f>'1a FASE'!I125</f>
        <v>Atlético de Madrid</v>
      </c>
      <c r="J124" s="11" t="str">
        <f>'1a FASE'!J125</f>
        <v>Galatasaray</v>
      </c>
      <c r="K124" s="11" t="str">
        <f>'1a FASE'!K125</f>
        <v>Atlético de Madrid</v>
      </c>
      <c r="L124" s="11" t="str">
        <f>'1a FASE'!L125</f>
        <v>Atlético de Madrid</v>
      </c>
      <c r="M124" s="11" t="str">
        <f>'1a FASE'!M125</f>
        <v>Empate</v>
      </c>
      <c r="N124" s="11" t="str">
        <f>'1a FASE'!N125</f>
        <v>Atlético de Madrid</v>
      </c>
      <c r="O124" s="11" t="str">
        <f>'1a FASE'!O125</f>
        <v>Empate</v>
      </c>
      <c r="P124" s="11" t="str">
        <f>'1a FASE'!P125</f>
        <v>Atlético de Madrid</v>
      </c>
      <c r="Q124" s="11" t="str">
        <f>'1a FASE'!Q125</f>
        <v>Galatasaray</v>
      </c>
      <c r="R124" s="11" t="str">
        <f>'1a FASE'!R125</f>
        <v>Atlético de Madrid</v>
      </c>
      <c r="S124" s="11" t="str">
        <f>'1a FASE'!S125</f>
        <v>Atlético de Madrid</v>
      </c>
      <c r="T124" s="11" t="str">
        <f>'1a FASE'!T125</f>
        <v>Empate</v>
      </c>
      <c r="U124" s="11" t="str">
        <f>'1a FASE'!U125</f>
        <v>Atlético de Madrid</v>
      </c>
      <c r="V124" s="11" t="str">
        <f>'1a FASE'!V125</f>
        <v>Atlético de Madrid</v>
      </c>
      <c r="W124" s="11" t="str">
        <f>'1a FASE'!W125</f>
        <v>Atlético de Madrid</v>
      </c>
      <c r="X124" s="11">
        <f>+IF(C124=$B124,Pesos!$L$3,0)*IF(COUNTIF($C124:$W124,C124)=1,2,1)</f>
        <v>0</v>
      </c>
      <c r="Y124" s="11">
        <f>+IF(D124=$B124,Pesos!$L$3,0)*IF(COUNTIF($C124:$W124,D124)=1,2,1)</f>
        <v>0</v>
      </c>
      <c r="Z124" s="11">
        <f>+IF(E124=$B124,Pesos!$L$3,0)*IF(COUNTIF($C124:$W124,E124)=1,2,1)</f>
        <v>0</v>
      </c>
      <c r="AA124" s="11">
        <f>+IF(F124=$B124,Pesos!$L$3,0)*IF(COUNTIF($C124:$W124,F124)=1,2,1)</f>
        <v>0</v>
      </c>
      <c r="AB124" s="11">
        <f>+IF(G124=$B124,Pesos!$L$3,0)*IF(COUNTIF($C124:$W124,G124)=1,2,1)</f>
        <v>0.85</v>
      </c>
      <c r="AC124" s="11">
        <f>+IF(H124=$B124,Pesos!$L$3,0)*IF(COUNTIF($C124:$W124,H124)=1,2,1)</f>
        <v>0</v>
      </c>
      <c r="AD124" s="11">
        <f>+IF(I124=$B124,Pesos!$L$3,0)*IF(COUNTIF($C124:$W124,I124)=1,2,1)</f>
        <v>0</v>
      </c>
      <c r="AE124" s="11">
        <f>+IF(J124=$B124,Pesos!$L$3,0)*IF(COUNTIF($C124:$W124,J124)=1,2,1)</f>
        <v>0</v>
      </c>
      <c r="AF124" s="11">
        <f>+IF(K124=$B124,Pesos!$L$3,0)*IF(COUNTIF($C124:$W124,K124)=1,2,1)</f>
        <v>0</v>
      </c>
      <c r="AG124" s="11">
        <f>+IF(L124=$B124,Pesos!$L$3,0)*IF(COUNTIF($C124:$W124,L124)=1,2,1)</f>
        <v>0</v>
      </c>
      <c r="AH124" s="11">
        <f>+IF(M124=$B124,Pesos!$L$3,0)*IF(COUNTIF($C124:$W124,M124)=1,2,1)</f>
        <v>0.85</v>
      </c>
      <c r="AI124" s="11">
        <f>+IF(N124=$B124,Pesos!$L$3,0)*IF(COUNTIF($C124:$W124,N124)=1,2,1)</f>
        <v>0</v>
      </c>
      <c r="AJ124" s="11">
        <f>+IF(O124=$B124,Pesos!$L$3,0)*IF(COUNTIF($C124:$W124,O124)=1,2,1)</f>
        <v>0.85</v>
      </c>
      <c r="AK124" s="11">
        <f>+IF(P124=$B124,Pesos!$L$3,0)*IF(COUNTIF($C124:$W124,P124)=1,2,1)</f>
        <v>0</v>
      </c>
      <c r="AL124" s="11">
        <f>+IF(Q124=$B124,Pesos!$L$3,0)*IF(COUNTIF($C124:$W124,Q124)=1,2,1)</f>
        <v>0</v>
      </c>
      <c r="AM124" s="11">
        <f>+IF(R124=$B124,Pesos!$L$3,0)*IF(COUNTIF($C124:$W124,R124)=1,2,1)</f>
        <v>0</v>
      </c>
      <c r="AN124" s="11">
        <f>+IF(S124=$B124,Pesos!$L$3,0)*IF(COUNTIF($C124:$W124,S124)=1,2,1)</f>
        <v>0</v>
      </c>
      <c r="AO124" s="11">
        <f>+IF(T124=$B124,Pesos!$L$3,0)*IF(COUNTIF($C124:$W124,T124)=1,2,1)</f>
        <v>0.85</v>
      </c>
      <c r="AP124" s="11">
        <f>+IF(U124=$B124,Pesos!$L$3,0)*IF(COUNTIF($C124:$W124,U124)=1,2,1)</f>
        <v>0</v>
      </c>
      <c r="AQ124" s="11">
        <f>+IF(V124=$B124,Pesos!$L$3,0)*IF(COUNTIF($C124:$W124,V124)=1,2,1)</f>
        <v>0</v>
      </c>
      <c r="AR124" s="11">
        <f>+IF(W124=$B124,Pesos!$L$3,0)*IF(COUNTIF($C124:$W124,W124)=1,2,1)</f>
        <v>0</v>
      </c>
    </row>
    <row r="125" ht="12.75" customHeight="1">
      <c r="A125" s="1" t="str">
        <f>'1a FASE'!A126</f>
        <v>Machtday 7</v>
      </c>
      <c r="B125" s="8" t="str">
        <f>'1a FASE'!B126</f>
        <v>Qarabag</v>
      </c>
      <c r="C125" s="10" t="str">
        <f>'1a FASE'!C126</f>
        <v>Eintracht Frankfurt</v>
      </c>
      <c r="D125" s="10" t="str">
        <f>'1a FASE'!D126</f>
        <v>Eintracht Frankfurt</v>
      </c>
      <c r="E125" s="10" t="str">
        <f>'1a FASE'!E126</f>
        <v>Eintracht Frankfurt</v>
      </c>
      <c r="F125" s="10" t="str">
        <f>'1a FASE'!F126</f>
        <v>Eintracht Frankfurt</v>
      </c>
      <c r="G125" s="10" t="str">
        <f>'1a FASE'!G126</f>
        <v>Eintracht Frankfurt</v>
      </c>
      <c r="H125" s="10" t="str">
        <f>'1a FASE'!H126</f>
        <v>Eintracht Frankfurt</v>
      </c>
      <c r="I125" s="10" t="str">
        <f>'1a FASE'!I126</f>
        <v>Eintracht Frankfurt</v>
      </c>
      <c r="J125" s="10" t="str">
        <f>'1a FASE'!J126</f>
        <v>Eintracht Frankfurt</v>
      </c>
      <c r="K125" s="10" t="str">
        <f>'1a FASE'!K126</f>
        <v>Qarabag</v>
      </c>
      <c r="L125" s="10" t="str">
        <f>'1a FASE'!L126</f>
        <v>Eintracht Frankfurt</v>
      </c>
      <c r="M125" s="10" t="str">
        <f>'1a FASE'!M126</f>
        <v>Eintracht Frankfurt</v>
      </c>
      <c r="N125" s="10" t="str">
        <f>'1a FASE'!N126</f>
        <v>Eintracht Frankfurt</v>
      </c>
      <c r="O125" s="10" t="str">
        <f>'1a FASE'!O126</f>
        <v>Eintracht Frankfurt</v>
      </c>
      <c r="P125" s="10" t="str">
        <f>'1a FASE'!P126</f>
        <v>Eintracht Frankfurt</v>
      </c>
      <c r="Q125" s="10" t="str">
        <f>'1a FASE'!Q126</f>
        <v>Eintracht Frankfurt</v>
      </c>
      <c r="R125" s="10" t="str">
        <f>'1a FASE'!R126</f>
        <v>Empate</v>
      </c>
      <c r="S125" s="10" t="str">
        <f>'1a FASE'!S126</f>
        <v>Empate</v>
      </c>
      <c r="T125" s="10" t="str">
        <f>'1a FASE'!T126</f>
        <v>Eintracht Frankfurt</v>
      </c>
      <c r="U125" s="10" t="str">
        <f>'1a FASE'!U126</f>
        <v>Empate</v>
      </c>
      <c r="V125" s="10" t="str">
        <f>'1a FASE'!V126</f>
        <v>Empate</v>
      </c>
      <c r="W125" s="10" t="str">
        <f>'1a FASE'!W126</f>
        <v>Eintracht Frankfurt</v>
      </c>
      <c r="X125" s="10">
        <f>+IF(C125=$B125,Pesos!$L$3,0)*IF(COUNTIF($C125:$W125,C125)=1,2,1)</f>
        <v>0</v>
      </c>
      <c r="Y125" s="10">
        <f>+IF(D125=$B125,Pesos!$L$3,0)*IF(COUNTIF($C125:$W125,D125)=1,2,1)</f>
        <v>0</v>
      </c>
      <c r="Z125" s="10">
        <f>+IF(E125=$B125,Pesos!$L$3,0)*IF(COUNTIF($C125:$W125,E125)=1,2,1)</f>
        <v>0</v>
      </c>
      <c r="AA125" s="10">
        <f>+IF(F125=$B125,Pesos!$L$3,0)*IF(COUNTIF($C125:$W125,F125)=1,2,1)</f>
        <v>0</v>
      </c>
      <c r="AB125" s="10">
        <f>+IF(G125=$B125,Pesos!$L$3,0)*IF(COUNTIF($C125:$W125,G125)=1,2,1)</f>
        <v>0</v>
      </c>
      <c r="AC125" s="10">
        <f>+IF(H125=$B125,Pesos!$L$3,0)*IF(COUNTIF($C125:$W125,H125)=1,2,1)</f>
        <v>0</v>
      </c>
      <c r="AD125" s="10">
        <f>+IF(I125=$B125,Pesos!$L$3,0)*IF(COUNTIF($C125:$W125,I125)=1,2,1)</f>
        <v>0</v>
      </c>
      <c r="AE125" s="10">
        <f>+IF(J125=$B125,Pesos!$L$3,0)*IF(COUNTIF($C125:$W125,J125)=1,2,1)</f>
        <v>0</v>
      </c>
      <c r="AF125" s="10">
        <f>+IF(K125=$B125,Pesos!$L$3,0)*IF(COUNTIF($C125:$W125,K125)=1,2,1)</f>
        <v>1.7</v>
      </c>
      <c r="AG125" s="10">
        <f>+IF(L125=$B125,Pesos!$L$3,0)*IF(COUNTIF($C125:$W125,L125)=1,2,1)</f>
        <v>0</v>
      </c>
      <c r="AH125" s="10">
        <f>+IF(M125=$B125,Pesos!$L$3,0)*IF(COUNTIF($C125:$W125,M125)=1,2,1)</f>
        <v>0</v>
      </c>
      <c r="AI125" s="10">
        <f>+IF(N125=$B125,Pesos!$L$3,0)*IF(COUNTIF($C125:$W125,N125)=1,2,1)</f>
        <v>0</v>
      </c>
      <c r="AJ125" s="10">
        <f>+IF(O125=$B125,Pesos!$L$3,0)*IF(COUNTIF($C125:$W125,O125)=1,2,1)</f>
        <v>0</v>
      </c>
      <c r="AK125" s="10">
        <f>+IF(P125=$B125,Pesos!$L$3,0)*IF(COUNTIF($C125:$W125,P125)=1,2,1)</f>
        <v>0</v>
      </c>
      <c r="AL125" s="10">
        <f>+IF(Q125=$B125,Pesos!$L$3,0)*IF(COUNTIF($C125:$W125,Q125)=1,2,1)</f>
        <v>0</v>
      </c>
      <c r="AM125" s="10">
        <f>+IF(R125=$B125,Pesos!$L$3,0)*IF(COUNTIF($C125:$W125,R125)=1,2,1)</f>
        <v>0</v>
      </c>
      <c r="AN125" s="10">
        <f>+IF(S125=$B125,Pesos!$L$3,0)*IF(COUNTIF($C125:$W125,S125)=1,2,1)</f>
        <v>0</v>
      </c>
      <c r="AO125" s="10">
        <f>+IF(T125=$B125,Pesos!$L$3,0)*IF(COUNTIF($C125:$W125,T125)=1,2,1)</f>
        <v>0</v>
      </c>
      <c r="AP125" s="10">
        <f>+IF(U125=$B125,Pesos!$L$3,0)*IF(COUNTIF($C125:$W125,U125)=1,2,1)</f>
        <v>0</v>
      </c>
      <c r="AQ125" s="10">
        <f>+IF(V125=$B125,Pesos!$L$3,0)*IF(COUNTIF($C125:$W125,V125)=1,2,1)</f>
        <v>0</v>
      </c>
      <c r="AR125" s="10">
        <f>+IF(W125=$B125,Pesos!$L$3,0)*IF(COUNTIF($C125:$W125,W125)=1,2,1)</f>
        <v>0</v>
      </c>
    </row>
    <row r="126" ht="12.75" customHeight="1">
      <c r="A126" s="1" t="str">
        <f>'1a FASE'!A127</f>
        <v>Machtday 7</v>
      </c>
      <c r="B126" s="8" t="str">
        <f>'1a FASE'!B127</f>
        <v>Chelsea</v>
      </c>
      <c r="C126" s="11" t="str">
        <f>'1a FASE'!C127</f>
        <v>Chelsea</v>
      </c>
      <c r="D126" s="11" t="str">
        <f>'1a FASE'!D127</f>
        <v>Chelsea</v>
      </c>
      <c r="E126" s="11" t="str">
        <f>'1a FASE'!E127</f>
        <v>Chelsea</v>
      </c>
      <c r="F126" s="11" t="str">
        <f>'1a FASE'!F127</f>
        <v>Chelsea</v>
      </c>
      <c r="G126" s="11" t="str">
        <f>'1a FASE'!G127</f>
        <v>Chelsea</v>
      </c>
      <c r="H126" s="11" t="str">
        <f>'1a FASE'!H127</f>
        <v>Chelsea</v>
      </c>
      <c r="I126" s="11" t="str">
        <f>'1a FASE'!I127</f>
        <v>Chelsea</v>
      </c>
      <c r="J126" s="11" t="str">
        <f>'1a FASE'!J127</f>
        <v>Chelsea</v>
      </c>
      <c r="K126" s="11" t="str">
        <f>'1a FASE'!K127</f>
        <v>Chelsea</v>
      </c>
      <c r="L126" s="11" t="str">
        <f>'1a FASE'!L127</f>
        <v>Chelsea</v>
      </c>
      <c r="M126" s="11" t="str">
        <f>'1a FASE'!M127</f>
        <v>Chelsea</v>
      </c>
      <c r="N126" s="11" t="str">
        <f>'1a FASE'!N127</f>
        <v>Chelsea</v>
      </c>
      <c r="O126" s="11" t="str">
        <f>'1a FASE'!O127</f>
        <v>Chelsea</v>
      </c>
      <c r="P126" s="11" t="str">
        <f>'1a FASE'!P127</f>
        <v>Chelsea</v>
      </c>
      <c r="Q126" s="11" t="str">
        <f>'1a FASE'!Q127</f>
        <v>Chelsea</v>
      </c>
      <c r="R126" s="11" t="str">
        <f>'1a FASE'!R127</f>
        <v>Chelsea</v>
      </c>
      <c r="S126" s="11" t="str">
        <f>'1a FASE'!S127</f>
        <v>Chelsea</v>
      </c>
      <c r="T126" s="11" t="str">
        <f>'1a FASE'!T127</f>
        <v>Chelsea</v>
      </c>
      <c r="U126" s="11" t="str">
        <f>'1a FASE'!U127</f>
        <v>Chelsea</v>
      </c>
      <c r="V126" s="11" t="str">
        <f>'1a FASE'!V127</f>
        <v>Chelsea</v>
      </c>
      <c r="W126" s="11" t="str">
        <f>'1a FASE'!W127</f>
        <v>Chelsea</v>
      </c>
      <c r="X126" s="11">
        <f>+IF(C126=$B126,Pesos!$L$3,0)*IF(COUNTIF($C126:$W126,C126)=1,2,1)</f>
        <v>0.85</v>
      </c>
      <c r="Y126" s="11">
        <f>+IF(D126=$B126,Pesos!$L$3,0)*IF(COUNTIF($C126:$W126,D126)=1,2,1)</f>
        <v>0.85</v>
      </c>
      <c r="Z126" s="11">
        <f>+IF(E126=$B126,Pesos!$L$3,0)*IF(COUNTIF($C126:$W126,E126)=1,2,1)</f>
        <v>0.85</v>
      </c>
      <c r="AA126" s="11">
        <f>+IF(F126=$B126,Pesos!$L$3,0)*IF(COUNTIF($C126:$W126,F126)=1,2,1)</f>
        <v>0.85</v>
      </c>
      <c r="AB126" s="11">
        <f>+IF(G126=$B126,Pesos!$L$3,0)*IF(COUNTIF($C126:$W126,G126)=1,2,1)</f>
        <v>0.85</v>
      </c>
      <c r="AC126" s="11">
        <f>+IF(H126=$B126,Pesos!$L$3,0)*IF(COUNTIF($C126:$W126,H126)=1,2,1)</f>
        <v>0.85</v>
      </c>
      <c r="AD126" s="11">
        <f>+IF(I126=$B126,Pesos!$L$3,0)*IF(COUNTIF($C126:$W126,I126)=1,2,1)</f>
        <v>0.85</v>
      </c>
      <c r="AE126" s="11">
        <f>+IF(J126=$B126,Pesos!$L$3,0)*IF(COUNTIF($C126:$W126,J126)=1,2,1)</f>
        <v>0.85</v>
      </c>
      <c r="AF126" s="11">
        <f>+IF(K126=$B126,Pesos!$L$3,0)*IF(COUNTIF($C126:$W126,K126)=1,2,1)</f>
        <v>0.85</v>
      </c>
      <c r="AG126" s="11">
        <f>+IF(L126=$B126,Pesos!$L$3,0)*IF(COUNTIF($C126:$W126,L126)=1,2,1)</f>
        <v>0.85</v>
      </c>
      <c r="AH126" s="11">
        <f>+IF(M126=$B126,Pesos!$L$3,0)*IF(COUNTIF($C126:$W126,M126)=1,2,1)</f>
        <v>0.85</v>
      </c>
      <c r="AI126" s="11">
        <f>+IF(N126=$B126,Pesos!$L$3,0)*IF(COUNTIF($C126:$W126,N126)=1,2,1)</f>
        <v>0.85</v>
      </c>
      <c r="AJ126" s="11">
        <f>+IF(O126=$B126,Pesos!$L$3,0)*IF(COUNTIF($C126:$W126,O126)=1,2,1)</f>
        <v>0.85</v>
      </c>
      <c r="AK126" s="11">
        <f>+IF(P126=$B126,Pesos!$L$3,0)*IF(COUNTIF($C126:$W126,P126)=1,2,1)</f>
        <v>0.85</v>
      </c>
      <c r="AL126" s="11">
        <f>+IF(Q126=$B126,Pesos!$L$3,0)*IF(COUNTIF($C126:$W126,Q126)=1,2,1)</f>
        <v>0.85</v>
      </c>
      <c r="AM126" s="11">
        <f>+IF(R126=$B126,Pesos!$L$3,0)*IF(COUNTIF($C126:$W126,R126)=1,2,1)</f>
        <v>0.85</v>
      </c>
      <c r="AN126" s="11">
        <f>+IF(S126=$B126,Pesos!$L$3,0)*IF(COUNTIF($C126:$W126,S126)=1,2,1)</f>
        <v>0.85</v>
      </c>
      <c r="AO126" s="11">
        <f>+IF(T126=$B126,Pesos!$L$3,0)*IF(COUNTIF($C126:$W126,T126)=1,2,1)</f>
        <v>0.85</v>
      </c>
      <c r="AP126" s="11">
        <f>+IF(U126=$B126,Pesos!$L$3,0)*IF(COUNTIF($C126:$W126,U126)=1,2,1)</f>
        <v>0.85</v>
      </c>
      <c r="AQ126" s="11">
        <f>+IF(V126=$B126,Pesos!$L$3,0)*IF(COUNTIF($C126:$W126,V126)=1,2,1)</f>
        <v>0.85</v>
      </c>
      <c r="AR126" s="11">
        <f>+IF(W126=$B126,Pesos!$L$3,0)*IF(COUNTIF($C126:$W126,W126)=1,2,1)</f>
        <v>0.85</v>
      </c>
    </row>
    <row r="127" ht="12.75" customHeight="1">
      <c r="A127" s="1" t="str">
        <f>'1a FASE'!A128</f>
        <v>Machtday 7</v>
      </c>
      <c r="B127" s="8" t="str">
        <f>'1a FASE'!B128</f>
        <v>Athletic Bilbao</v>
      </c>
      <c r="C127" s="10" t="str">
        <f>'1a FASE'!C128</f>
        <v>Empate</v>
      </c>
      <c r="D127" s="10" t="str">
        <f>'1a FASE'!D128</f>
        <v>Atalanta</v>
      </c>
      <c r="E127" s="10" t="str">
        <f>'1a FASE'!E128</f>
        <v>Athletic Bilbao</v>
      </c>
      <c r="F127" s="10" t="str">
        <f>'1a FASE'!F128</f>
        <v>Atalanta</v>
      </c>
      <c r="G127" s="10" t="str">
        <f>'1a FASE'!G128</f>
        <v>Atalanta</v>
      </c>
      <c r="H127" s="10" t="str">
        <f>'1a FASE'!H128</f>
        <v>Atalanta</v>
      </c>
      <c r="I127" s="10" t="str">
        <f>'1a FASE'!I128</f>
        <v>Atalanta</v>
      </c>
      <c r="J127" s="10" t="str">
        <f>'1a FASE'!J128</f>
        <v>Atalanta</v>
      </c>
      <c r="K127" s="10" t="str">
        <f>'1a FASE'!K128</f>
        <v>Athletic Bilbao</v>
      </c>
      <c r="L127" s="10" t="str">
        <f>'1a FASE'!L128</f>
        <v>Atalanta</v>
      </c>
      <c r="M127" s="10" t="str">
        <f>'1a FASE'!M128</f>
        <v>Atalanta</v>
      </c>
      <c r="N127" s="10" t="str">
        <f>'1a FASE'!N128</f>
        <v>Atalanta</v>
      </c>
      <c r="O127" s="10" t="str">
        <f>'1a FASE'!O128</f>
        <v>Atalanta</v>
      </c>
      <c r="P127" s="10" t="str">
        <f>'1a FASE'!P128</f>
        <v>Atalanta</v>
      </c>
      <c r="Q127" s="10" t="str">
        <f>'1a FASE'!Q128</f>
        <v>Atalanta</v>
      </c>
      <c r="R127" s="10" t="str">
        <f>'1a FASE'!R128</f>
        <v>Atalanta</v>
      </c>
      <c r="S127" s="10" t="str">
        <f>'1a FASE'!S128</f>
        <v>Atalanta</v>
      </c>
      <c r="T127" s="10" t="str">
        <f>'1a FASE'!T128</f>
        <v>Atalanta</v>
      </c>
      <c r="U127" s="10" t="str">
        <f>'1a FASE'!U128</f>
        <v>Atalanta</v>
      </c>
      <c r="V127" s="10" t="str">
        <f>'1a FASE'!V128</f>
        <v>Athletic Bilbao</v>
      </c>
      <c r="W127" s="10" t="str">
        <f>'1a FASE'!W128</f>
        <v>Atalanta</v>
      </c>
      <c r="X127" s="10">
        <f>+IF(C127=$B127,Pesos!$L$3,0)*IF(COUNTIF($C127:$W127,C127)=1,2,1)</f>
        <v>0</v>
      </c>
      <c r="Y127" s="10">
        <f>+IF(D127=$B127,Pesos!$L$3,0)*IF(COUNTIF($C127:$W127,D127)=1,2,1)</f>
        <v>0</v>
      </c>
      <c r="Z127" s="10">
        <f>+IF(E127=$B127,Pesos!$L$3,0)*IF(COUNTIF($C127:$W127,E127)=1,2,1)</f>
        <v>0.85</v>
      </c>
      <c r="AA127" s="10">
        <f>+IF(F127=$B127,Pesos!$L$3,0)*IF(COUNTIF($C127:$W127,F127)=1,2,1)</f>
        <v>0</v>
      </c>
      <c r="AB127" s="10">
        <f>+IF(G127=$B127,Pesos!$L$3,0)*IF(COUNTIF($C127:$W127,G127)=1,2,1)</f>
        <v>0</v>
      </c>
      <c r="AC127" s="10">
        <f>+IF(H127=$B127,Pesos!$L$3,0)*IF(COUNTIF($C127:$W127,H127)=1,2,1)</f>
        <v>0</v>
      </c>
      <c r="AD127" s="10">
        <f>+IF(I127=$B127,Pesos!$L$3,0)*IF(COUNTIF($C127:$W127,I127)=1,2,1)</f>
        <v>0</v>
      </c>
      <c r="AE127" s="10">
        <f>+IF(J127=$B127,Pesos!$L$3,0)*IF(COUNTIF($C127:$W127,J127)=1,2,1)</f>
        <v>0</v>
      </c>
      <c r="AF127" s="10">
        <f>+IF(K127=$B127,Pesos!$L$3,0)*IF(COUNTIF($C127:$W127,K127)=1,2,1)</f>
        <v>0.85</v>
      </c>
      <c r="AG127" s="10">
        <f>+IF(L127=$B127,Pesos!$L$3,0)*IF(COUNTIF($C127:$W127,L127)=1,2,1)</f>
        <v>0</v>
      </c>
      <c r="AH127" s="10">
        <f>+IF(M127=$B127,Pesos!$L$3,0)*IF(COUNTIF($C127:$W127,M127)=1,2,1)</f>
        <v>0</v>
      </c>
      <c r="AI127" s="10">
        <f>+IF(N127=$B127,Pesos!$L$3,0)*IF(COUNTIF($C127:$W127,N127)=1,2,1)</f>
        <v>0</v>
      </c>
      <c r="AJ127" s="10">
        <f>+IF(O127=$B127,Pesos!$L$3,0)*IF(COUNTIF($C127:$W127,O127)=1,2,1)</f>
        <v>0</v>
      </c>
      <c r="AK127" s="10">
        <f>+IF(P127=$B127,Pesos!$L$3,0)*IF(COUNTIF($C127:$W127,P127)=1,2,1)</f>
        <v>0</v>
      </c>
      <c r="AL127" s="10">
        <f>+IF(Q127=$B127,Pesos!$L$3,0)*IF(COUNTIF($C127:$W127,Q127)=1,2,1)</f>
        <v>0</v>
      </c>
      <c r="AM127" s="10">
        <f>+IF(R127=$B127,Pesos!$L$3,0)*IF(COUNTIF($C127:$W127,R127)=1,2,1)</f>
        <v>0</v>
      </c>
      <c r="AN127" s="10">
        <f>+IF(S127=$B127,Pesos!$L$3,0)*IF(COUNTIF($C127:$W127,S127)=1,2,1)</f>
        <v>0</v>
      </c>
      <c r="AO127" s="10">
        <f>+IF(T127=$B127,Pesos!$L$3,0)*IF(COUNTIF($C127:$W127,T127)=1,2,1)</f>
        <v>0</v>
      </c>
      <c r="AP127" s="10">
        <f>+IF(U127=$B127,Pesos!$L$3,0)*IF(COUNTIF($C127:$W127,U127)=1,2,1)</f>
        <v>0</v>
      </c>
      <c r="AQ127" s="10">
        <f>+IF(V127=$B127,Pesos!$L$3,0)*IF(COUNTIF($C127:$W127,V127)=1,2,1)</f>
        <v>0.85</v>
      </c>
      <c r="AR127" s="10">
        <f>+IF(W127=$B127,Pesos!$L$3,0)*IF(COUNTIF($C127:$W127,W127)=1,2,1)</f>
        <v>0</v>
      </c>
    </row>
    <row r="128" ht="12.75" customHeight="1">
      <c r="A128" s="1" t="str">
        <f>'1a FASE'!A129</f>
        <v>Machtday 7</v>
      </c>
      <c r="B128" s="8" t="str">
        <f>'1a FASE'!B129</f>
        <v>Juventus</v>
      </c>
      <c r="C128" s="11" t="str">
        <f>'1a FASE'!C129</f>
        <v>Juventus</v>
      </c>
      <c r="D128" s="11" t="str">
        <f>'1a FASE'!D129</f>
        <v>Juventus</v>
      </c>
      <c r="E128" s="11" t="str">
        <f>'1a FASE'!E129</f>
        <v>Juventus</v>
      </c>
      <c r="F128" s="11" t="str">
        <f>'1a FASE'!F129</f>
        <v>Juventus</v>
      </c>
      <c r="G128" s="11" t="str">
        <f>'1a FASE'!G129</f>
        <v>Juventus</v>
      </c>
      <c r="H128" s="11" t="str">
        <f>'1a FASE'!H129</f>
        <v>Juventus</v>
      </c>
      <c r="I128" s="11" t="str">
        <f>'1a FASE'!I129</f>
        <v>Juventus</v>
      </c>
      <c r="J128" s="11" t="str">
        <f>'1a FASE'!J129</f>
        <v>Juventus</v>
      </c>
      <c r="K128" s="11" t="str">
        <f>'1a FASE'!K129</f>
        <v>Juventus</v>
      </c>
      <c r="L128" s="11" t="str">
        <f>'1a FASE'!L129</f>
        <v>Juventus</v>
      </c>
      <c r="M128" s="11" t="str">
        <f>'1a FASE'!M129</f>
        <v>Juventus</v>
      </c>
      <c r="N128" s="11" t="str">
        <f>'1a FASE'!N129</f>
        <v>Juventus</v>
      </c>
      <c r="O128" s="11" t="str">
        <f>'1a FASE'!O129</f>
        <v>Juventus</v>
      </c>
      <c r="P128" s="11" t="str">
        <f>'1a FASE'!P129</f>
        <v>Juventus</v>
      </c>
      <c r="Q128" s="11" t="str">
        <f>'1a FASE'!Q129</f>
        <v>Juventus</v>
      </c>
      <c r="R128" s="11" t="str">
        <f>'1a FASE'!R129</f>
        <v>Juventus</v>
      </c>
      <c r="S128" s="11" t="str">
        <f>'1a FASE'!S129</f>
        <v>Juventus</v>
      </c>
      <c r="T128" s="11" t="str">
        <f>'1a FASE'!T129</f>
        <v>Juventus</v>
      </c>
      <c r="U128" s="11" t="str">
        <f>'1a FASE'!U129</f>
        <v>Juventus</v>
      </c>
      <c r="V128" s="11" t="str">
        <f>'1a FASE'!V129</f>
        <v>Benfica</v>
      </c>
      <c r="W128" s="11" t="str">
        <f>'1a FASE'!W129</f>
        <v>Juventus</v>
      </c>
      <c r="X128" s="11">
        <f>+IF(C128=$B128,Pesos!$L$3,0)*IF(COUNTIF($C128:$W128,C128)=1,2,1)</f>
        <v>0.85</v>
      </c>
      <c r="Y128" s="11">
        <f>+IF(D128=$B128,Pesos!$L$3,0)*IF(COUNTIF($C128:$W128,D128)=1,2,1)</f>
        <v>0.85</v>
      </c>
      <c r="Z128" s="11">
        <f>+IF(E128=$B128,Pesos!$L$3,0)*IF(COUNTIF($C128:$W128,E128)=1,2,1)</f>
        <v>0.85</v>
      </c>
      <c r="AA128" s="11">
        <f>+IF(F128=$B128,Pesos!$L$3,0)*IF(COUNTIF($C128:$W128,F128)=1,2,1)</f>
        <v>0.85</v>
      </c>
      <c r="AB128" s="11">
        <f>+IF(G128=$B128,Pesos!$L$3,0)*IF(COUNTIF($C128:$W128,G128)=1,2,1)</f>
        <v>0.85</v>
      </c>
      <c r="AC128" s="11">
        <f>+IF(H128=$B128,Pesos!$L$3,0)*IF(COUNTIF($C128:$W128,H128)=1,2,1)</f>
        <v>0.85</v>
      </c>
      <c r="AD128" s="11">
        <f>+IF(I128=$B128,Pesos!$L$3,0)*IF(COUNTIF($C128:$W128,I128)=1,2,1)</f>
        <v>0.85</v>
      </c>
      <c r="AE128" s="11">
        <f>+IF(J128=$B128,Pesos!$L$3,0)*IF(COUNTIF($C128:$W128,J128)=1,2,1)</f>
        <v>0.85</v>
      </c>
      <c r="AF128" s="11">
        <f>+IF(K128=$B128,Pesos!$L$3,0)*IF(COUNTIF($C128:$W128,K128)=1,2,1)</f>
        <v>0.85</v>
      </c>
      <c r="AG128" s="11">
        <f>+IF(L128=$B128,Pesos!$L$3,0)*IF(COUNTIF($C128:$W128,L128)=1,2,1)</f>
        <v>0.85</v>
      </c>
      <c r="AH128" s="11">
        <f>+IF(M128=$B128,Pesos!$L$3,0)*IF(COUNTIF($C128:$W128,M128)=1,2,1)</f>
        <v>0.85</v>
      </c>
      <c r="AI128" s="11">
        <f>+IF(N128=$B128,Pesos!$L$3,0)*IF(COUNTIF($C128:$W128,N128)=1,2,1)</f>
        <v>0.85</v>
      </c>
      <c r="AJ128" s="11">
        <f>+IF(O128=$B128,Pesos!$L$3,0)*IF(COUNTIF($C128:$W128,O128)=1,2,1)</f>
        <v>0.85</v>
      </c>
      <c r="AK128" s="11">
        <f>+IF(P128=$B128,Pesos!$L$3,0)*IF(COUNTIF($C128:$W128,P128)=1,2,1)</f>
        <v>0.85</v>
      </c>
      <c r="AL128" s="11">
        <f>+IF(Q128=$B128,Pesos!$L$3,0)*IF(COUNTIF($C128:$W128,Q128)=1,2,1)</f>
        <v>0.85</v>
      </c>
      <c r="AM128" s="11">
        <f>+IF(R128=$B128,Pesos!$L$3,0)*IF(COUNTIF($C128:$W128,R128)=1,2,1)</f>
        <v>0.85</v>
      </c>
      <c r="AN128" s="11">
        <f>+IF(S128=$B128,Pesos!$L$3,0)*IF(COUNTIF($C128:$W128,S128)=1,2,1)</f>
        <v>0.85</v>
      </c>
      <c r="AO128" s="11">
        <f>+IF(T128=$B128,Pesos!$L$3,0)*IF(COUNTIF($C128:$W128,T128)=1,2,1)</f>
        <v>0.85</v>
      </c>
      <c r="AP128" s="11">
        <f>+IF(U128=$B128,Pesos!$L$3,0)*IF(COUNTIF($C128:$W128,U128)=1,2,1)</f>
        <v>0.85</v>
      </c>
      <c r="AQ128" s="11">
        <f>+IF(V128=$B128,Pesos!$L$3,0)*IF(COUNTIF($C128:$W128,V128)=1,2,1)</f>
        <v>0</v>
      </c>
      <c r="AR128" s="11">
        <f>+IF(W128=$B128,Pesos!$L$3,0)*IF(COUNTIF($C128:$W128,W128)=1,2,1)</f>
        <v>0.85</v>
      </c>
    </row>
    <row r="129" ht="12.75" customHeight="1">
      <c r="A129" s="1" t="str">
        <f>'1a FASE'!A130</f>
        <v>Machtday 7</v>
      </c>
      <c r="B129" s="8" t="str">
        <f>'1a FASE'!B130</f>
        <v>Barcelona</v>
      </c>
      <c r="C129" s="10" t="str">
        <f>'1a FASE'!C130</f>
        <v>Barcelona</v>
      </c>
      <c r="D129" s="10" t="str">
        <f>'1a FASE'!D130</f>
        <v>Barcelona</v>
      </c>
      <c r="E129" s="10" t="str">
        <f>'1a FASE'!E130</f>
        <v>Barcelona</v>
      </c>
      <c r="F129" s="10" t="str">
        <f>'1a FASE'!F130</f>
        <v>Barcelona</v>
      </c>
      <c r="G129" s="10" t="str">
        <f>'1a FASE'!G130</f>
        <v>Barcelona</v>
      </c>
      <c r="H129" s="10" t="str">
        <f>'1a FASE'!H130</f>
        <v>Barcelona</v>
      </c>
      <c r="I129" s="10" t="str">
        <f>'1a FASE'!I130</f>
        <v>Barcelona</v>
      </c>
      <c r="J129" s="10" t="str">
        <f>'1a FASE'!J130</f>
        <v>Barcelona</v>
      </c>
      <c r="K129" s="10" t="str">
        <f>'1a FASE'!K130</f>
        <v>Barcelona</v>
      </c>
      <c r="L129" s="10" t="str">
        <f>'1a FASE'!L130</f>
        <v>Barcelona</v>
      </c>
      <c r="M129" s="10" t="str">
        <f>'1a FASE'!M130</f>
        <v>Barcelona</v>
      </c>
      <c r="N129" s="10" t="str">
        <f>'1a FASE'!N130</f>
        <v>Barcelona</v>
      </c>
      <c r="O129" s="10" t="str">
        <f>'1a FASE'!O130</f>
        <v>Barcelona</v>
      </c>
      <c r="P129" s="10" t="str">
        <f>'1a FASE'!P130</f>
        <v>Barcelona</v>
      </c>
      <c r="Q129" s="10" t="str">
        <f>'1a FASE'!Q130</f>
        <v>Barcelona</v>
      </c>
      <c r="R129" s="10" t="str">
        <f>'1a FASE'!R130</f>
        <v>Barcelona</v>
      </c>
      <c r="S129" s="10" t="str">
        <f>'1a FASE'!S130</f>
        <v>Barcelona</v>
      </c>
      <c r="T129" s="10" t="str">
        <f>'1a FASE'!T130</f>
        <v>Barcelona</v>
      </c>
      <c r="U129" s="10" t="str">
        <f>'1a FASE'!U130</f>
        <v>Barcelona</v>
      </c>
      <c r="V129" s="10" t="str">
        <f>'1a FASE'!V130</f>
        <v>Barcelona</v>
      </c>
      <c r="W129" s="10" t="str">
        <f>'1a FASE'!W130</f>
        <v>Barcelona</v>
      </c>
      <c r="X129" s="10">
        <f>+IF(C129=$B129,Pesos!$L$3,0)*IF(COUNTIF($C129:$W129,C129)=1,2,1)</f>
        <v>0.85</v>
      </c>
      <c r="Y129" s="10">
        <f>+IF(D129=$B129,Pesos!$L$3,0)*IF(COUNTIF($C129:$W129,D129)=1,2,1)</f>
        <v>0.85</v>
      </c>
      <c r="Z129" s="10">
        <f>+IF(E129=$B129,Pesos!$L$3,0)*IF(COUNTIF($C129:$W129,E129)=1,2,1)</f>
        <v>0.85</v>
      </c>
      <c r="AA129" s="10">
        <f>+IF(F129=$B129,Pesos!$L$3,0)*IF(COUNTIF($C129:$W129,F129)=1,2,1)</f>
        <v>0.85</v>
      </c>
      <c r="AB129" s="10">
        <f>+IF(G129=$B129,Pesos!$L$3,0)*IF(COUNTIF($C129:$W129,G129)=1,2,1)</f>
        <v>0.85</v>
      </c>
      <c r="AC129" s="10">
        <f>+IF(H129=$B129,Pesos!$L$3,0)*IF(COUNTIF($C129:$W129,H129)=1,2,1)</f>
        <v>0.85</v>
      </c>
      <c r="AD129" s="10">
        <f>+IF(I129=$B129,Pesos!$L$3,0)*IF(COUNTIF($C129:$W129,I129)=1,2,1)</f>
        <v>0.85</v>
      </c>
      <c r="AE129" s="10">
        <f>+IF(J129=$B129,Pesos!$L$3,0)*IF(COUNTIF($C129:$W129,J129)=1,2,1)</f>
        <v>0.85</v>
      </c>
      <c r="AF129" s="10">
        <f>+IF(K129=$B129,Pesos!$L$3,0)*IF(COUNTIF($C129:$W129,K129)=1,2,1)</f>
        <v>0.85</v>
      </c>
      <c r="AG129" s="10">
        <f>+IF(L129=$B129,Pesos!$L$3,0)*IF(COUNTIF($C129:$W129,L129)=1,2,1)</f>
        <v>0.85</v>
      </c>
      <c r="AH129" s="10">
        <f>+IF(M129=$B129,Pesos!$L$3,0)*IF(COUNTIF($C129:$W129,M129)=1,2,1)</f>
        <v>0.85</v>
      </c>
      <c r="AI129" s="10">
        <f>+IF(N129=$B129,Pesos!$L$3,0)*IF(COUNTIF($C129:$W129,N129)=1,2,1)</f>
        <v>0.85</v>
      </c>
      <c r="AJ129" s="10">
        <f>+IF(O129=$B129,Pesos!$L$3,0)*IF(COUNTIF($C129:$W129,O129)=1,2,1)</f>
        <v>0.85</v>
      </c>
      <c r="AK129" s="10">
        <f>+IF(P129=$B129,Pesos!$L$3,0)*IF(COUNTIF($C129:$W129,P129)=1,2,1)</f>
        <v>0.85</v>
      </c>
      <c r="AL129" s="10">
        <f>+IF(Q129=$B129,Pesos!$L$3,0)*IF(COUNTIF($C129:$W129,Q129)=1,2,1)</f>
        <v>0.85</v>
      </c>
      <c r="AM129" s="10">
        <f>+IF(R129=$B129,Pesos!$L$3,0)*IF(COUNTIF($C129:$W129,R129)=1,2,1)</f>
        <v>0.85</v>
      </c>
      <c r="AN129" s="10">
        <f>+IF(S129=$B129,Pesos!$L$3,0)*IF(COUNTIF($C129:$W129,S129)=1,2,1)</f>
        <v>0.85</v>
      </c>
      <c r="AO129" s="10">
        <f>+IF(T129=$B129,Pesos!$L$3,0)*IF(COUNTIF($C129:$W129,T129)=1,2,1)</f>
        <v>0.85</v>
      </c>
      <c r="AP129" s="10">
        <f>+IF(U129=$B129,Pesos!$L$3,0)*IF(COUNTIF($C129:$W129,U129)=1,2,1)</f>
        <v>0.85</v>
      </c>
      <c r="AQ129" s="10">
        <f>+IF(V129=$B129,Pesos!$L$3,0)*IF(COUNTIF($C129:$W129,V129)=1,2,1)</f>
        <v>0.85</v>
      </c>
      <c r="AR129" s="10">
        <f>+IF(W129=$B129,Pesos!$L$3,0)*IF(COUNTIF($C129:$W129,W129)=1,2,1)</f>
        <v>0.85</v>
      </c>
    </row>
    <row r="130" ht="12.75" customHeight="1">
      <c r="A130" s="1" t="str">
        <f>'1a FASE'!A131</f>
        <v>Machtday 7</v>
      </c>
      <c r="B130" s="8" t="str">
        <f>'1a FASE'!B131</f>
        <v>Liverpool</v>
      </c>
      <c r="C130" s="11" t="str">
        <f>'1a FASE'!C131</f>
        <v>Liverpool</v>
      </c>
      <c r="D130" s="11" t="str">
        <f>'1a FASE'!D131</f>
        <v>Liverpool</v>
      </c>
      <c r="E130" s="11" t="str">
        <f>'1a FASE'!E131</f>
        <v>Liverpool</v>
      </c>
      <c r="F130" s="11" t="str">
        <f>'1a FASE'!F131</f>
        <v>Liverpool</v>
      </c>
      <c r="G130" s="11" t="str">
        <f>'1a FASE'!G131</f>
        <v>Liverpool</v>
      </c>
      <c r="H130" s="11" t="str">
        <f>'1a FASE'!H131</f>
        <v>Liverpool</v>
      </c>
      <c r="I130" s="11" t="str">
        <f>'1a FASE'!I131</f>
        <v>Liverpool</v>
      </c>
      <c r="J130" s="11" t="str">
        <f>'1a FASE'!J131</f>
        <v>Liverpool</v>
      </c>
      <c r="K130" s="11" t="str">
        <f>'1a FASE'!K131</f>
        <v>Liverpool</v>
      </c>
      <c r="L130" s="11" t="str">
        <f>'1a FASE'!L131</f>
        <v>Liverpool</v>
      </c>
      <c r="M130" s="11" t="str">
        <f>'1a FASE'!M131</f>
        <v>Liverpool</v>
      </c>
      <c r="N130" s="11" t="str">
        <f>'1a FASE'!N131</f>
        <v>Liverpool</v>
      </c>
      <c r="O130" s="11" t="str">
        <f>'1a FASE'!O131</f>
        <v>Liverpool</v>
      </c>
      <c r="P130" s="11" t="str">
        <f>'1a FASE'!P131</f>
        <v>Liverpool</v>
      </c>
      <c r="Q130" s="11" t="str">
        <f>'1a FASE'!Q131</f>
        <v>Liverpool</v>
      </c>
      <c r="R130" s="11" t="str">
        <f>'1a FASE'!R131</f>
        <v>Liverpool</v>
      </c>
      <c r="S130" s="11" t="str">
        <f>'1a FASE'!S131</f>
        <v>Liverpool</v>
      </c>
      <c r="T130" s="11" t="str">
        <f>'1a FASE'!T131</f>
        <v>Olympique de Marselha</v>
      </c>
      <c r="U130" s="11" t="str">
        <f>'1a FASE'!U131</f>
        <v>Liverpool</v>
      </c>
      <c r="V130" s="11" t="str">
        <f>'1a FASE'!V131</f>
        <v>Liverpool</v>
      </c>
      <c r="W130" s="11" t="str">
        <f>'1a FASE'!W131</f>
        <v>Liverpool</v>
      </c>
      <c r="X130" s="11">
        <f>+IF(C130=$B130,Pesos!$L$3,0)*IF(COUNTIF($C130:$W130,C130)=1,2,1)</f>
        <v>0.85</v>
      </c>
      <c r="Y130" s="11">
        <f>+IF(D130=$B130,Pesos!$L$3,0)*IF(COUNTIF($C130:$W130,D130)=1,2,1)</f>
        <v>0.85</v>
      </c>
      <c r="Z130" s="11">
        <f>+IF(E130=$B130,Pesos!$L$3,0)*IF(COUNTIF($C130:$W130,E130)=1,2,1)</f>
        <v>0.85</v>
      </c>
      <c r="AA130" s="11">
        <f>+IF(F130=$B130,Pesos!$L$3,0)*IF(COUNTIF($C130:$W130,F130)=1,2,1)</f>
        <v>0.85</v>
      </c>
      <c r="AB130" s="11">
        <f>+IF(G130=$B130,Pesos!$L$3,0)*IF(COUNTIF($C130:$W130,G130)=1,2,1)</f>
        <v>0.85</v>
      </c>
      <c r="AC130" s="11">
        <f>+IF(H130=$B130,Pesos!$L$3,0)*IF(COUNTIF($C130:$W130,H130)=1,2,1)</f>
        <v>0.85</v>
      </c>
      <c r="AD130" s="11">
        <f>+IF(I130=$B130,Pesos!$L$3,0)*IF(COUNTIF($C130:$W130,I130)=1,2,1)</f>
        <v>0.85</v>
      </c>
      <c r="AE130" s="11">
        <f>+IF(J130=$B130,Pesos!$L$3,0)*IF(COUNTIF($C130:$W130,J130)=1,2,1)</f>
        <v>0.85</v>
      </c>
      <c r="AF130" s="11">
        <f>+IF(K130=$B130,Pesos!$L$3,0)*IF(COUNTIF($C130:$W130,K130)=1,2,1)</f>
        <v>0.85</v>
      </c>
      <c r="AG130" s="11">
        <f>+IF(L130=$B130,Pesos!$L$3,0)*IF(COUNTIF($C130:$W130,L130)=1,2,1)</f>
        <v>0.85</v>
      </c>
      <c r="AH130" s="11">
        <f>+IF(M130=$B130,Pesos!$L$3,0)*IF(COUNTIF($C130:$W130,M130)=1,2,1)</f>
        <v>0.85</v>
      </c>
      <c r="AI130" s="11">
        <f>+IF(N130=$B130,Pesos!$L$3,0)*IF(COUNTIF($C130:$W130,N130)=1,2,1)</f>
        <v>0.85</v>
      </c>
      <c r="AJ130" s="11">
        <f>+IF(O130=$B130,Pesos!$L$3,0)*IF(COUNTIF($C130:$W130,O130)=1,2,1)</f>
        <v>0.85</v>
      </c>
      <c r="AK130" s="11">
        <f>+IF(P130=$B130,Pesos!$L$3,0)*IF(COUNTIF($C130:$W130,P130)=1,2,1)</f>
        <v>0.85</v>
      </c>
      <c r="AL130" s="11">
        <f>+IF(Q130=$B130,Pesos!$L$3,0)*IF(COUNTIF($C130:$W130,Q130)=1,2,1)</f>
        <v>0.85</v>
      </c>
      <c r="AM130" s="11">
        <f>+IF(R130=$B130,Pesos!$L$3,0)*IF(COUNTIF($C130:$W130,R130)=1,2,1)</f>
        <v>0.85</v>
      </c>
      <c r="AN130" s="11">
        <f>+IF(S130=$B130,Pesos!$L$3,0)*IF(COUNTIF($C130:$W130,S130)=1,2,1)</f>
        <v>0.85</v>
      </c>
      <c r="AO130" s="11">
        <f>+IF(T130=$B130,Pesos!$L$3,0)*IF(COUNTIF($C130:$W130,T130)=1,2,1)</f>
        <v>0</v>
      </c>
      <c r="AP130" s="11">
        <f>+IF(U130=$B130,Pesos!$L$3,0)*IF(COUNTIF($C130:$W130,U130)=1,2,1)</f>
        <v>0.85</v>
      </c>
      <c r="AQ130" s="11">
        <f>+IF(V130=$B130,Pesos!$L$3,0)*IF(COUNTIF($C130:$W130,V130)=1,2,1)</f>
        <v>0.85</v>
      </c>
      <c r="AR130" s="11">
        <f>+IF(W130=$B130,Pesos!$L$3,0)*IF(COUNTIF($C130:$W130,W130)=1,2,1)</f>
        <v>0.85</v>
      </c>
    </row>
    <row r="131" ht="12.75" customHeight="1">
      <c r="A131" s="1" t="str">
        <f>'1a FASE'!A132</f>
        <v>Machtday 7</v>
      </c>
      <c r="B131" s="8" t="str">
        <f>'1a FASE'!B132</f>
        <v>Newcastle</v>
      </c>
      <c r="C131" s="10" t="str">
        <f>'1a FASE'!C132</f>
        <v>Newcastle</v>
      </c>
      <c r="D131" s="10" t="str">
        <f>'1a FASE'!D132</f>
        <v>Newcastle</v>
      </c>
      <c r="E131" s="10" t="str">
        <f>'1a FASE'!E132</f>
        <v>Newcastle</v>
      </c>
      <c r="F131" s="10" t="str">
        <f>'1a FASE'!F132</f>
        <v>Newcastle</v>
      </c>
      <c r="G131" s="10" t="str">
        <f>'1a FASE'!G132</f>
        <v>Newcastle</v>
      </c>
      <c r="H131" s="10" t="str">
        <f>'1a FASE'!H132</f>
        <v>Newcastle</v>
      </c>
      <c r="I131" s="10" t="str">
        <f>'1a FASE'!I132</f>
        <v>Newcastle</v>
      </c>
      <c r="J131" s="10" t="str">
        <f>'1a FASE'!J132</f>
        <v>Newcastle</v>
      </c>
      <c r="K131" s="10" t="str">
        <f>'1a FASE'!K132</f>
        <v>Newcastle</v>
      </c>
      <c r="L131" s="10" t="str">
        <f>'1a FASE'!L132</f>
        <v>Newcastle</v>
      </c>
      <c r="M131" s="10" t="str">
        <f>'1a FASE'!M132</f>
        <v>Newcastle</v>
      </c>
      <c r="N131" s="10" t="str">
        <f>'1a FASE'!N132</f>
        <v>Newcastle</v>
      </c>
      <c r="O131" s="10" t="str">
        <f>'1a FASE'!O132</f>
        <v>Newcastle</v>
      </c>
      <c r="P131" s="10" t="str">
        <f>'1a FASE'!P132</f>
        <v>Newcastle</v>
      </c>
      <c r="Q131" s="10" t="str">
        <f>'1a FASE'!Q132</f>
        <v>Newcastle</v>
      </c>
      <c r="R131" s="10" t="str">
        <f>'1a FASE'!R132</f>
        <v>PSV Eindhoven</v>
      </c>
      <c r="S131" s="10" t="str">
        <f>'1a FASE'!S132</f>
        <v>Newcastle</v>
      </c>
      <c r="T131" s="10" t="str">
        <f>'1a FASE'!T132</f>
        <v>Newcastle</v>
      </c>
      <c r="U131" s="10" t="str">
        <f>'1a FASE'!U132</f>
        <v>Newcastle</v>
      </c>
      <c r="V131" s="10" t="str">
        <f>'1a FASE'!V132</f>
        <v>Newcastle</v>
      </c>
      <c r="W131" s="10" t="str">
        <f>'1a FASE'!W132</f>
        <v>Newcastle</v>
      </c>
      <c r="X131" s="10">
        <f>+IF(C131=$B131,Pesos!$L$3,0)*IF(COUNTIF($C131:$W131,C131)=1,2,1)</f>
        <v>0.85</v>
      </c>
      <c r="Y131" s="10">
        <f>+IF(D131=$B131,Pesos!$L$3,0)*IF(COUNTIF($C131:$W131,D131)=1,2,1)</f>
        <v>0.85</v>
      </c>
      <c r="Z131" s="10">
        <f>+IF(E131=$B131,Pesos!$L$3,0)*IF(COUNTIF($C131:$W131,E131)=1,2,1)</f>
        <v>0.85</v>
      </c>
      <c r="AA131" s="10">
        <f>+IF(F131=$B131,Pesos!$L$3,0)*IF(COUNTIF($C131:$W131,F131)=1,2,1)</f>
        <v>0.85</v>
      </c>
      <c r="AB131" s="10">
        <f>+IF(G131=$B131,Pesos!$L$3,0)*IF(COUNTIF($C131:$W131,G131)=1,2,1)</f>
        <v>0.85</v>
      </c>
      <c r="AC131" s="10">
        <f>+IF(H131=$B131,Pesos!$L$3,0)*IF(COUNTIF($C131:$W131,H131)=1,2,1)</f>
        <v>0.85</v>
      </c>
      <c r="AD131" s="10">
        <f>+IF(I131=$B131,Pesos!$L$3,0)*IF(COUNTIF($C131:$W131,I131)=1,2,1)</f>
        <v>0.85</v>
      </c>
      <c r="AE131" s="10">
        <f>+IF(J131=$B131,Pesos!$L$3,0)*IF(COUNTIF($C131:$W131,J131)=1,2,1)</f>
        <v>0.85</v>
      </c>
      <c r="AF131" s="10">
        <f>+IF(K131=$B131,Pesos!$L$3,0)*IF(COUNTIF($C131:$W131,K131)=1,2,1)</f>
        <v>0.85</v>
      </c>
      <c r="AG131" s="10">
        <f>+IF(L131=$B131,Pesos!$L$3,0)*IF(COUNTIF($C131:$W131,L131)=1,2,1)</f>
        <v>0.85</v>
      </c>
      <c r="AH131" s="10">
        <f>+IF(M131=$B131,Pesos!$L$3,0)*IF(COUNTIF($C131:$W131,M131)=1,2,1)</f>
        <v>0.85</v>
      </c>
      <c r="AI131" s="10">
        <f>+IF(N131=$B131,Pesos!$L$3,0)*IF(COUNTIF($C131:$W131,N131)=1,2,1)</f>
        <v>0.85</v>
      </c>
      <c r="AJ131" s="10">
        <f>+IF(O131=$B131,Pesos!$L$3,0)*IF(COUNTIF($C131:$W131,O131)=1,2,1)</f>
        <v>0.85</v>
      </c>
      <c r="AK131" s="10">
        <f>+IF(P131=$B131,Pesos!$L$3,0)*IF(COUNTIF($C131:$W131,P131)=1,2,1)</f>
        <v>0.85</v>
      </c>
      <c r="AL131" s="10">
        <f>+IF(Q131=$B131,Pesos!$L$3,0)*IF(COUNTIF($C131:$W131,Q131)=1,2,1)</f>
        <v>0.85</v>
      </c>
      <c r="AM131" s="10">
        <f>+IF(R131=$B131,Pesos!$L$3,0)*IF(COUNTIF($C131:$W131,R131)=1,2,1)</f>
        <v>0</v>
      </c>
      <c r="AN131" s="10">
        <f>+IF(S131=$B131,Pesos!$L$3,0)*IF(COUNTIF($C131:$W131,S131)=1,2,1)</f>
        <v>0.85</v>
      </c>
      <c r="AO131" s="10">
        <f>+IF(T131=$B131,Pesos!$L$3,0)*IF(COUNTIF($C131:$W131,T131)=1,2,1)</f>
        <v>0.85</v>
      </c>
      <c r="AP131" s="10">
        <f>+IF(U131=$B131,Pesos!$L$3,0)*IF(COUNTIF($C131:$W131,U131)=1,2,1)</f>
        <v>0.85</v>
      </c>
      <c r="AQ131" s="10">
        <f>+IF(V131=$B131,Pesos!$L$3,0)*IF(COUNTIF($C131:$W131,V131)=1,2,1)</f>
        <v>0.85</v>
      </c>
      <c r="AR131" s="10">
        <f>+IF(W131=$B131,Pesos!$L$3,0)*IF(COUNTIF($C131:$W131,W131)=1,2,1)</f>
        <v>0.85</v>
      </c>
    </row>
    <row r="132" ht="12.75" customHeight="1">
      <c r="A132" s="1" t="str">
        <f>'1a FASE'!A133</f>
        <v>Machtday 7</v>
      </c>
      <c r="B132" s="8" t="str">
        <f>'1a FASE'!B133</f>
        <v>Bayern de Munique</v>
      </c>
      <c r="C132" s="11" t="str">
        <f>'1a FASE'!C133</f>
        <v>Bayern de Munique</v>
      </c>
      <c r="D132" s="11" t="str">
        <f>'1a FASE'!D133</f>
        <v>Bayern de Munique</v>
      </c>
      <c r="E132" s="11" t="str">
        <f>'1a FASE'!E133</f>
        <v>Bayern de Munique</v>
      </c>
      <c r="F132" s="11" t="str">
        <f>'1a FASE'!F133</f>
        <v>Bayern de Munique</v>
      </c>
      <c r="G132" s="11" t="str">
        <f>'1a FASE'!G133</f>
        <v>Bayern de Munique</v>
      </c>
      <c r="H132" s="11" t="str">
        <f>'1a FASE'!H133</f>
        <v>Bayern de Munique</v>
      </c>
      <c r="I132" s="11" t="str">
        <f>'1a FASE'!I133</f>
        <v>Bayern de Munique</v>
      </c>
      <c r="J132" s="11" t="str">
        <f>'1a FASE'!J133</f>
        <v>Bayern de Munique</v>
      </c>
      <c r="K132" s="11" t="str">
        <f>'1a FASE'!K133</f>
        <v>Bayern de Munique</v>
      </c>
      <c r="L132" s="11" t="str">
        <f>'1a FASE'!L133</f>
        <v>Bayern de Munique</v>
      </c>
      <c r="M132" s="11" t="str">
        <f>'1a FASE'!M133</f>
        <v>Bayern de Munique</v>
      </c>
      <c r="N132" s="11" t="str">
        <f>'1a FASE'!N133</f>
        <v>Bayern de Munique</v>
      </c>
      <c r="O132" s="11" t="str">
        <f>'1a FASE'!O133</f>
        <v>Bayern de Munique</v>
      </c>
      <c r="P132" s="11" t="str">
        <f>'1a FASE'!P133</f>
        <v>Bayern de Munique</v>
      </c>
      <c r="Q132" s="11" t="str">
        <f>'1a FASE'!Q133</f>
        <v>Bayern de Munique</v>
      </c>
      <c r="R132" s="11" t="str">
        <f>'1a FASE'!R133</f>
        <v>Bayern de Munique</v>
      </c>
      <c r="S132" s="11" t="str">
        <f>'1a FASE'!S133</f>
        <v>Bayern de Munique</v>
      </c>
      <c r="T132" s="11" t="str">
        <f>'1a FASE'!T133</f>
        <v>Bayern de Munique</v>
      </c>
      <c r="U132" s="11" t="str">
        <f>'1a FASE'!U133</f>
        <v>Bayern de Munique</v>
      </c>
      <c r="V132" s="11" t="str">
        <f>'1a FASE'!V133</f>
        <v>Bayern de Munique</v>
      </c>
      <c r="W132" s="11" t="str">
        <f>'1a FASE'!W133</f>
        <v>Bayern de Munique</v>
      </c>
      <c r="X132" s="11">
        <f>+IF(C132=$B132,Pesos!$L$3,0)*IF(COUNTIF($C132:$W132,C132)=1,2,1)</f>
        <v>0.85</v>
      </c>
      <c r="Y132" s="11">
        <f>+IF(D132=$B132,Pesos!$L$3,0)*IF(COUNTIF($C132:$W132,D132)=1,2,1)</f>
        <v>0.85</v>
      </c>
      <c r="Z132" s="11">
        <f>+IF(E132=$B132,Pesos!$L$3,0)*IF(COUNTIF($C132:$W132,E132)=1,2,1)</f>
        <v>0.85</v>
      </c>
      <c r="AA132" s="11">
        <f>+IF(F132=$B132,Pesos!$L$3,0)*IF(COUNTIF($C132:$W132,F132)=1,2,1)</f>
        <v>0.85</v>
      </c>
      <c r="AB132" s="11">
        <f>+IF(G132=$B132,Pesos!$L$3,0)*IF(COUNTIF($C132:$W132,G132)=1,2,1)</f>
        <v>0.85</v>
      </c>
      <c r="AC132" s="11">
        <f>+IF(H132=$B132,Pesos!$L$3,0)*IF(COUNTIF($C132:$W132,H132)=1,2,1)</f>
        <v>0.85</v>
      </c>
      <c r="AD132" s="11">
        <f>+IF(I132=$B132,Pesos!$L$3,0)*IF(COUNTIF($C132:$W132,I132)=1,2,1)</f>
        <v>0.85</v>
      </c>
      <c r="AE132" s="11">
        <f>+IF(J132=$B132,Pesos!$L$3,0)*IF(COUNTIF($C132:$W132,J132)=1,2,1)</f>
        <v>0.85</v>
      </c>
      <c r="AF132" s="11">
        <f>+IF(K132=$B132,Pesos!$L$3,0)*IF(COUNTIF($C132:$W132,K132)=1,2,1)</f>
        <v>0.85</v>
      </c>
      <c r="AG132" s="11">
        <f>+IF(L132=$B132,Pesos!$L$3,0)*IF(COUNTIF($C132:$W132,L132)=1,2,1)</f>
        <v>0.85</v>
      </c>
      <c r="AH132" s="11">
        <f>+IF(M132=$B132,Pesos!$L$3,0)*IF(COUNTIF($C132:$W132,M132)=1,2,1)</f>
        <v>0.85</v>
      </c>
      <c r="AI132" s="11">
        <f>+IF(N132=$B132,Pesos!$L$3,0)*IF(COUNTIF($C132:$W132,N132)=1,2,1)</f>
        <v>0.85</v>
      </c>
      <c r="AJ132" s="11">
        <f>+IF(O132=$B132,Pesos!$L$3,0)*IF(COUNTIF($C132:$W132,O132)=1,2,1)</f>
        <v>0.85</v>
      </c>
      <c r="AK132" s="11">
        <f>+IF(P132=$B132,Pesos!$L$3,0)*IF(COUNTIF($C132:$W132,P132)=1,2,1)</f>
        <v>0.85</v>
      </c>
      <c r="AL132" s="11">
        <f>+IF(Q132=$B132,Pesos!$L$3,0)*IF(COUNTIF($C132:$W132,Q132)=1,2,1)</f>
        <v>0.85</v>
      </c>
      <c r="AM132" s="11">
        <f>+IF(R132=$B132,Pesos!$L$3,0)*IF(COUNTIF($C132:$W132,R132)=1,2,1)</f>
        <v>0.85</v>
      </c>
      <c r="AN132" s="11">
        <f>+IF(S132=$B132,Pesos!$L$3,0)*IF(COUNTIF($C132:$W132,S132)=1,2,1)</f>
        <v>0.85</v>
      </c>
      <c r="AO132" s="11">
        <f>+IF(T132=$B132,Pesos!$L$3,0)*IF(COUNTIF($C132:$W132,T132)=1,2,1)</f>
        <v>0.85</v>
      </c>
      <c r="AP132" s="11">
        <f>+IF(U132=$B132,Pesos!$L$3,0)*IF(COUNTIF($C132:$W132,U132)=1,2,1)</f>
        <v>0.85</v>
      </c>
      <c r="AQ132" s="11">
        <f>+IF(V132=$B132,Pesos!$L$3,0)*IF(COUNTIF($C132:$W132,V132)=1,2,1)</f>
        <v>0.85</v>
      </c>
      <c r="AR132" s="11">
        <f>+IF(W132=$B132,Pesos!$L$3,0)*IF(COUNTIF($C132:$W132,W132)=1,2,1)</f>
        <v>0.85</v>
      </c>
    </row>
    <row r="133" ht="12.75" customHeight="1">
      <c r="A133" s="1" t="str">
        <f>'1a FASE'!A134</f>
        <v>Machtday 8</v>
      </c>
      <c r="B133" s="8" t="str">
        <f>'1a FASE'!B134</f>
        <v>Pafos</v>
      </c>
      <c r="C133" s="10" t="str">
        <f>'1a FASE'!C134</f>
        <v>Slavia Praga</v>
      </c>
      <c r="D133" s="10" t="str">
        <f>'1a FASE'!D134</f>
        <v>Slavia Praga</v>
      </c>
      <c r="E133" s="10" t="str">
        <f>'1a FASE'!E134</f>
        <v>Slavia Praga</v>
      </c>
      <c r="F133" s="10" t="str">
        <f>'1a FASE'!F134</f>
        <v>Pafos</v>
      </c>
      <c r="G133" s="10" t="str">
        <f>'1a FASE'!G134</f>
        <v>Empate</v>
      </c>
      <c r="H133" s="10" t="str">
        <f>'1a FASE'!H134</f>
        <v>Pafos</v>
      </c>
      <c r="I133" s="10" t="str">
        <f>'1a FASE'!I134</f>
        <v>Empate</v>
      </c>
      <c r="J133" s="10" t="str">
        <f>'1a FASE'!J134</f>
        <v>Slavia Praga</v>
      </c>
      <c r="K133" s="10" t="str">
        <f>'1a FASE'!K134</f>
        <v>Slavia Praga</v>
      </c>
      <c r="L133" s="10" t="str">
        <f>'1a FASE'!L134</f>
        <v>Pafos</v>
      </c>
      <c r="M133" s="10" t="str">
        <f>'1a FASE'!M134</f>
        <v>Slavia Praga</v>
      </c>
      <c r="N133" s="10" t="str">
        <f>'1a FASE'!N134</f>
        <v>Slavia Praga</v>
      </c>
      <c r="O133" s="10" t="str">
        <f>'1a FASE'!O134</f>
        <v>Empate</v>
      </c>
      <c r="P133" s="10" t="str">
        <f>'1a FASE'!P134</f>
        <v>Slavia Praga</v>
      </c>
      <c r="Q133" s="10" t="str">
        <f>'1a FASE'!Q134</f>
        <v>Slavia Praga</v>
      </c>
      <c r="R133" s="10" t="str">
        <f>'1a FASE'!R134</f>
        <v>Pafos</v>
      </c>
      <c r="S133" s="10" t="str">
        <f>'1a FASE'!S134</f>
        <v>Empate</v>
      </c>
      <c r="T133" s="10" t="str">
        <f>'1a FASE'!T134</f>
        <v>Slavia Praga</v>
      </c>
      <c r="U133" s="10" t="str">
        <f>'1a FASE'!U134</f>
        <v>Empate</v>
      </c>
      <c r="V133" s="10" t="str">
        <f>'1a FASE'!V134</f>
        <v>Empate</v>
      </c>
      <c r="W133" s="10" t="str">
        <f>'1a FASE'!W134</f>
        <v>Slavia Praga</v>
      </c>
      <c r="X133" s="10">
        <f>+IF(C133=$B133,Pesos!$L$3,0)*IF(COUNTIF($C133:$W133,C133)=1,2,1)</f>
        <v>0</v>
      </c>
      <c r="Y133" s="10">
        <f>+IF(D133=$B133,Pesos!$L$3,0)*IF(COUNTIF($C133:$W133,D133)=1,2,1)</f>
        <v>0</v>
      </c>
      <c r="Z133" s="10">
        <f>+IF(E133=$B133,Pesos!$L$3,0)*IF(COUNTIF($C133:$W133,E133)=1,2,1)</f>
        <v>0</v>
      </c>
      <c r="AA133" s="10">
        <f>+IF(F133=$B133,Pesos!$L$3,0)*IF(COUNTIF($C133:$W133,F133)=1,2,1)</f>
        <v>0.85</v>
      </c>
      <c r="AB133" s="10">
        <f>+IF(G133=$B133,Pesos!$L$3,0)*IF(COUNTIF($C133:$W133,G133)=1,2,1)</f>
        <v>0</v>
      </c>
      <c r="AC133" s="10">
        <f>+IF(H133=$B133,Pesos!$L$3,0)*IF(COUNTIF($C133:$W133,H133)=1,2,1)</f>
        <v>0.85</v>
      </c>
      <c r="AD133" s="10">
        <f>+IF(I133=$B133,Pesos!$L$3,0)*IF(COUNTIF($C133:$W133,I133)=1,2,1)</f>
        <v>0</v>
      </c>
      <c r="AE133" s="10">
        <f>+IF(J133=$B133,Pesos!$L$3,0)*IF(COUNTIF($C133:$W133,J133)=1,2,1)</f>
        <v>0</v>
      </c>
      <c r="AF133" s="10">
        <f>+IF(K133=$B133,Pesos!$L$3,0)*IF(COUNTIF($C133:$W133,K133)=1,2,1)</f>
        <v>0</v>
      </c>
      <c r="AG133" s="10">
        <f>+IF(L133=$B133,Pesos!$L$3,0)*IF(COUNTIF($C133:$W133,L133)=1,2,1)</f>
        <v>0.85</v>
      </c>
      <c r="AH133" s="10">
        <f>+IF(M133=$B133,Pesos!$L$3,0)*IF(COUNTIF($C133:$W133,M133)=1,2,1)</f>
        <v>0</v>
      </c>
      <c r="AI133" s="10">
        <f>+IF(N133=$B133,Pesos!$L$3,0)*IF(COUNTIF($C133:$W133,N133)=1,2,1)</f>
        <v>0</v>
      </c>
      <c r="AJ133" s="10">
        <f>+IF(O133=$B133,Pesos!$L$3,0)*IF(COUNTIF($C133:$W133,O133)=1,2,1)</f>
        <v>0</v>
      </c>
      <c r="AK133" s="10">
        <f>+IF(P133=$B133,Pesos!$L$3,0)*IF(COUNTIF($C133:$W133,P133)=1,2,1)</f>
        <v>0</v>
      </c>
      <c r="AL133" s="10">
        <f>+IF(Q133=$B133,Pesos!$L$3,0)*IF(COUNTIF($C133:$W133,Q133)=1,2,1)</f>
        <v>0</v>
      </c>
      <c r="AM133" s="10">
        <f>+IF(R133=$B133,Pesos!$L$3,0)*IF(COUNTIF($C133:$W133,R133)=1,2,1)</f>
        <v>0.85</v>
      </c>
      <c r="AN133" s="10">
        <f>+IF(S133=$B133,Pesos!$L$3,0)*IF(COUNTIF($C133:$W133,S133)=1,2,1)</f>
        <v>0</v>
      </c>
      <c r="AO133" s="10">
        <f>+IF(T133=$B133,Pesos!$L$3,0)*IF(COUNTIF($C133:$W133,T133)=1,2,1)</f>
        <v>0</v>
      </c>
      <c r="AP133" s="10">
        <f>+IF(U133=$B133,Pesos!$L$3,0)*IF(COUNTIF($C133:$W133,U133)=1,2,1)</f>
        <v>0</v>
      </c>
      <c r="AQ133" s="10">
        <f>+IF(V133=$B133,Pesos!$L$3,0)*IF(COUNTIF($C133:$W133,V133)=1,2,1)</f>
        <v>0</v>
      </c>
      <c r="AR133" s="10">
        <f>+IF(W133=$B133,Pesos!$L$3,0)*IF(COUNTIF($C133:$W133,W133)=1,2,1)</f>
        <v>0</v>
      </c>
    </row>
    <row r="134" ht="12.75" customHeight="1">
      <c r="A134" s="1" t="str">
        <f>'1a FASE'!A135</f>
        <v>Machtday 8</v>
      </c>
      <c r="B134" s="8" t="str">
        <f>'1a FASE'!B135</f>
        <v>Empate</v>
      </c>
      <c r="C134" s="11" t="str">
        <f>'1a FASE'!C135</f>
        <v>Paris Saint-Germain</v>
      </c>
      <c r="D134" s="11" t="str">
        <f>'1a FASE'!D135</f>
        <v>Paris Saint-Germain</v>
      </c>
      <c r="E134" s="11" t="str">
        <f>'1a FASE'!E135</f>
        <v>Paris Saint-Germain</v>
      </c>
      <c r="F134" s="11" t="str">
        <f>'1a FASE'!F135</f>
        <v>Paris Saint-Germain</v>
      </c>
      <c r="G134" s="11" t="str">
        <f>'1a FASE'!G135</f>
        <v>Paris Saint-Germain</v>
      </c>
      <c r="H134" s="11" t="str">
        <f>'1a FASE'!H135</f>
        <v>Paris Saint-Germain</v>
      </c>
      <c r="I134" s="11" t="str">
        <f>'1a FASE'!I135</f>
        <v>Paris Saint-Germain</v>
      </c>
      <c r="J134" s="11" t="str">
        <f>'1a FASE'!J135</f>
        <v>Paris Saint-Germain</v>
      </c>
      <c r="K134" s="11" t="str">
        <f>'1a FASE'!K135</f>
        <v>Paris Saint-Germain</v>
      </c>
      <c r="L134" s="11" t="str">
        <f>'1a FASE'!L135</f>
        <v>Paris Saint-Germain</v>
      </c>
      <c r="M134" s="11" t="str">
        <f>'1a FASE'!M135</f>
        <v>Paris Saint-Germain</v>
      </c>
      <c r="N134" s="11" t="str">
        <f>'1a FASE'!N135</f>
        <v>Paris Saint-Germain</v>
      </c>
      <c r="O134" s="11" t="str">
        <f>'1a FASE'!O135</f>
        <v>Paris Saint-Germain</v>
      </c>
      <c r="P134" s="11" t="str">
        <f>'1a FASE'!P135</f>
        <v>Paris Saint-Germain</v>
      </c>
      <c r="Q134" s="11" t="str">
        <f>'1a FASE'!Q135</f>
        <v>Paris Saint-Germain</v>
      </c>
      <c r="R134" s="11" t="str">
        <f>'1a FASE'!R135</f>
        <v>Paris Saint-Germain</v>
      </c>
      <c r="S134" s="11" t="str">
        <f>'1a FASE'!S135</f>
        <v>Paris Saint-Germain</v>
      </c>
      <c r="T134" s="11" t="str">
        <f>'1a FASE'!T135</f>
        <v>Paris Saint-Germain</v>
      </c>
      <c r="U134" s="11" t="str">
        <f>'1a FASE'!U135</f>
        <v>Paris Saint-Germain</v>
      </c>
      <c r="V134" s="11" t="str">
        <f>'1a FASE'!V135</f>
        <v>Paris Saint-Germain</v>
      </c>
      <c r="W134" s="11" t="str">
        <f>'1a FASE'!W135</f>
        <v>Paris Saint-Germain</v>
      </c>
      <c r="X134" s="11">
        <f>+IF(C134=$B134,Pesos!$L$3,0)*IF(COUNTIF($C134:$W134,C134)=1,2,1)</f>
        <v>0</v>
      </c>
      <c r="Y134" s="11">
        <f>+IF(D134=$B134,Pesos!$L$3,0)*IF(COUNTIF($C134:$W134,D134)=1,2,1)</f>
        <v>0</v>
      </c>
      <c r="Z134" s="11">
        <f>+IF(E134=$B134,Pesos!$L$3,0)*IF(COUNTIF($C134:$W134,E134)=1,2,1)</f>
        <v>0</v>
      </c>
      <c r="AA134" s="11">
        <f>+IF(F134=$B134,Pesos!$L$3,0)*IF(COUNTIF($C134:$W134,F134)=1,2,1)</f>
        <v>0</v>
      </c>
      <c r="AB134" s="11">
        <f>+IF(G134=$B134,Pesos!$L$3,0)*IF(COUNTIF($C134:$W134,G134)=1,2,1)</f>
        <v>0</v>
      </c>
      <c r="AC134" s="11">
        <f>+IF(H134=$B134,Pesos!$L$3,0)*IF(COUNTIF($C134:$W134,H134)=1,2,1)</f>
        <v>0</v>
      </c>
      <c r="AD134" s="11">
        <f>+IF(I134=$B134,Pesos!$L$3,0)*IF(COUNTIF($C134:$W134,I134)=1,2,1)</f>
        <v>0</v>
      </c>
      <c r="AE134" s="11">
        <f>+IF(J134=$B134,Pesos!$L$3,0)*IF(COUNTIF($C134:$W134,J134)=1,2,1)</f>
        <v>0</v>
      </c>
      <c r="AF134" s="11">
        <f>+IF(K134=$B134,Pesos!$L$3,0)*IF(COUNTIF($C134:$W134,K134)=1,2,1)</f>
        <v>0</v>
      </c>
      <c r="AG134" s="11">
        <f>+IF(L134=$B134,Pesos!$L$3,0)*IF(COUNTIF($C134:$W134,L134)=1,2,1)</f>
        <v>0</v>
      </c>
      <c r="AH134" s="11">
        <f>+IF(M134=$B134,Pesos!$L$3,0)*IF(COUNTIF($C134:$W134,M134)=1,2,1)</f>
        <v>0</v>
      </c>
      <c r="AI134" s="11">
        <f>+IF(N134=$B134,Pesos!$L$3,0)*IF(COUNTIF($C134:$W134,N134)=1,2,1)</f>
        <v>0</v>
      </c>
      <c r="AJ134" s="11">
        <f>+IF(O134=$B134,Pesos!$L$3,0)*IF(COUNTIF($C134:$W134,O134)=1,2,1)</f>
        <v>0</v>
      </c>
      <c r="AK134" s="11">
        <f>+IF(P134=$B134,Pesos!$L$3,0)*IF(COUNTIF($C134:$W134,P134)=1,2,1)</f>
        <v>0</v>
      </c>
      <c r="AL134" s="11">
        <f>+IF(Q134=$B134,Pesos!$L$3,0)*IF(COUNTIF($C134:$W134,Q134)=1,2,1)</f>
        <v>0</v>
      </c>
      <c r="AM134" s="11">
        <f>+IF(R134=$B134,Pesos!$L$3,0)*IF(COUNTIF($C134:$W134,R134)=1,2,1)</f>
        <v>0</v>
      </c>
      <c r="AN134" s="11">
        <f>+IF(S134=$B134,Pesos!$L$3,0)*IF(COUNTIF($C134:$W134,S134)=1,2,1)</f>
        <v>0</v>
      </c>
      <c r="AO134" s="11">
        <f>+IF(T134=$B134,Pesos!$L$3,0)*IF(COUNTIF($C134:$W134,T134)=1,2,1)</f>
        <v>0</v>
      </c>
      <c r="AP134" s="11">
        <f>+IF(U134=$B134,Pesos!$L$3,0)*IF(COUNTIF($C134:$W134,U134)=1,2,1)</f>
        <v>0</v>
      </c>
      <c r="AQ134" s="11">
        <f>+IF(V134=$B134,Pesos!$L$3,0)*IF(COUNTIF($C134:$W134,V134)=1,2,1)</f>
        <v>0</v>
      </c>
      <c r="AR134" s="11">
        <f>+IF(W134=$B134,Pesos!$L$3,0)*IF(COUNTIF($C134:$W134,W134)=1,2,1)</f>
        <v>0</v>
      </c>
    </row>
    <row r="135" ht="12.75" customHeight="1">
      <c r="A135" s="1" t="str">
        <f>'1a FASE'!A136</f>
        <v>Machtday 8</v>
      </c>
      <c r="B135" s="8" t="str">
        <f>'1a FASE'!B136</f>
        <v>Manchester City</v>
      </c>
      <c r="C135" s="10" t="str">
        <f>'1a FASE'!C136</f>
        <v>Manchester City</v>
      </c>
      <c r="D135" s="10" t="str">
        <f>'1a FASE'!D136</f>
        <v>Manchester City</v>
      </c>
      <c r="E135" s="10" t="str">
        <f>'1a FASE'!E136</f>
        <v>Manchester City</v>
      </c>
      <c r="F135" s="10" t="str">
        <f>'1a FASE'!F136</f>
        <v>Manchester City</v>
      </c>
      <c r="G135" s="10" t="str">
        <f>'1a FASE'!G136</f>
        <v>Manchester City</v>
      </c>
      <c r="H135" s="10" t="str">
        <f>'1a FASE'!H136</f>
        <v>Manchester City</v>
      </c>
      <c r="I135" s="10" t="str">
        <f>'1a FASE'!I136</f>
        <v>Manchester City</v>
      </c>
      <c r="J135" s="10" t="str">
        <f>'1a FASE'!J136</f>
        <v>Manchester City</v>
      </c>
      <c r="K135" s="10" t="str">
        <f>'1a FASE'!K136</f>
        <v>Manchester City</v>
      </c>
      <c r="L135" s="10" t="str">
        <f>'1a FASE'!L136</f>
        <v>Manchester City</v>
      </c>
      <c r="M135" s="10" t="str">
        <f>'1a FASE'!M136</f>
        <v>Manchester City</v>
      </c>
      <c r="N135" s="10" t="str">
        <f>'1a FASE'!N136</f>
        <v>Manchester City</v>
      </c>
      <c r="O135" s="10" t="str">
        <f>'1a FASE'!O136</f>
        <v>Manchester City</v>
      </c>
      <c r="P135" s="10" t="str">
        <f>'1a FASE'!P136</f>
        <v>Manchester City</v>
      </c>
      <c r="Q135" s="10" t="str">
        <f>'1a FASE'!Q136</f>
        <v>Manchester City</v>
      </c>
      <c r="R135" s="10" t="str">
        <f>'1a FASE'!R136</f>
        <v>Manchester City</v>
      </c>
      <c r="S135" s="10" t="str">
        <f>'1a FASE'!S136</f>
        <v>Manchester City</v>
      </c>
      <c r="T135" s="10" t="str">
        <f>'1a FASE'!T136</f>
        <v>Manchester City</v>
      </c>
      <c r="U135" s="10" t="str">
        <f>'1a FASE'!U136</f>
        <v>Manchester City</v>
      </c>
      <c r="V135" s="10" t="str">
        <f>'1a FASE'!V136</f>
        <v>Manchester City</v>
      </c>
      <c r="W135" s="10" t="str">
        <f>'1a FASE'!W136</f>
        <v>Manchester City</v>
      </c>
      <c r="X135" s="10">
        <f>+IF(C135=$B135,Pesos!$L$3,0)*IF(COUNTIF($C135:$W135,C135)=1,2,1)</f>
        <v>0.85</v>
      </c>
      <c r="Y135" s="10">
        <f>+IF(D135=$B135,Pesos!$L$3,0)*IF(COUNTIF($C135:$W135,D135)=1,2,1)</f>
        <v>0.85</v>
      </c>
      <c r="Z135" s="10">
        <f>+IF(E135=$B135,Pesos!$L$3,0)*IF(COUNTIF($C135:$W135,E135)=1,2,1)</f>
        <v>0.85</v>
      </c>
      <c r="AA135" s="10">
        <f>+IF(F135=$B135,Pesos!$L$3,0)*IF(COUNTIF($C135:$W135,F135)=1,2,1)</f>
        <v>0.85</v>
      </c>
      <c r="AB135" s="10">
        <f>+IF(G135=$B135,Pesos!$L$3,0)*IF(COUNTIF($C135:$W135,G135)=1,2,1)</f>
        <v>0.85</v>
      </c>
      <c r="AC135" s="10">
        <f>+IF(H135=$B135,Pesos!$L$3,0)*IF(COUNTIF($C135:$W135,H135)=1,2,1)</f>
        <v>0.85</v>
      </c>
      <c r="AD135" s="10">
        <f>+IF(I135=$B135,Pesos!$L$3,0)*IF(COUNTIF($C135:$W135,I135)=1,2,1)</f>
        <v>0.85</v>
      </c>
      <c r="AE135" s="10">
        <f>+IF(J135=$B135,Pesos!$L$3,0)*IF(COUNTIF($C135:$W135,J135)=1,2,1)</f>
        <v>0.85</v>
      </c>
      <c r="AF135" s="10">
        <f>+IF(K135=$B135,Pesos!$L$3,0)*IF(COUNTIF($C135:$W135,K135)=1,2,1)</f>
        <v>0.85</v>
      </c>
      <c r="AG135" s="10">
        <f>+IF(L135=$B135,Pesos!$L$3,0)*IF(COUNTIF($C135:$W135,L135)=1,2,1)</f>
        <v>0.85</v>
      </c>
      <c r="AH135" s="10">
        <f>+IF(M135=$B135,Pesos!$L$3,0)*IF(COUNTIF($C135:$W135,M135)=1,2,1)</f>
        <v>0.85</v>
      </c>
      <c r="AI135" s="10">
        <f>+IF(N135=$B135,Pesos!$L$3,0)*IF(COUNTIF($C135:$W135,N135)=1,2,1)</f>
        <v>0.85</v>
      </c>
      <c r="AJ135" s="10">
        <f>+IF(O135=$B135,Pesos!$L$3,0)*IF(COUNTIF($C135:$W135,O135)=1,2,1)</f>
        <v>0.85</v>
      </c>
      <c r="AK135" s="10">
        <f>+IF(P135=$B135,Pesos!$L$3,0)*IF(COUNTIF($C135:$W135,P135)=1,2,1)</f>
        <v>0.85</v>
      </c>
      <c r="AL135" s="10">
        <f>+IF(Q135=$B135,Pesos!$L$3,0)*IF(COUNTIF($C135:$W135,Q135)=1,2,1)</f>
        <v>0.85</v>
      </c>
      <c r="AM135" s="10">
        <f>+IF(R135=$B135,Pesos!$L$3,0)*IF(COUNTIF($C135:$W135,R135)=1,2,1)</f>
        <v>0.85</v>
      </c>
      <c r="AN135" s="10">
        <f>+IF(S135=$B135,Pesos!$L$3,0)*IF(COUNTIF($C135:$W135,S135)=1,2,1)</f>
        <v>0.85</v>
      </c>
      <c r="AO135" s="10">
        <f>+IF(T135=$B135,Pesos!$L$3,0)*IF(COUNTIF($C135:$W135,T135)=1,2,1)</f>
        <v>0.85</v>
      </c>
      <c r="AP135" s="10">
        <f>+IF(U135=$B135,Pesos!$L$3,0)*IF(COUNTIF($C135:$W135,U135)=1,2,1)</f>
        <v>0.85</v>
      </c>
      <c r="AQ135" s="10">
        <f>+IF(V135=$B135,Pesos!$L$3,0)*IF(COUNTIF($C135:$W135,V135)=1,2,1)</f>
        <v>0.85</v>
      </c>
      <c r="AR135" s="10">
        <f>+IF(W135=$B135,Pesos!$L$3,0)*IF(COUNTIF($C135:$W135,W135)=1,2,1)</f>
        <v>0.85</v>
      </c>
    </row>
    <row r="136" ht="12.75" customHeight="1">
      <c r="A136" s="1" t="str">
        <f>'1a FASE'!A137</f>
        <v>Machtday 8</v>
      </c>
      <c r="B136" s="8" t="str">
        <f>'1a FASE'!B137</f>
        <v>Liverpool</v>
      </c>
      <c r="C136" s="11" t="str">
        <f>'1a FASE'!C137</f>
        <v>Liverpool</v>
      </c>
      <c r="D136" s="11" t="str">
        <f>'1a FASE'!D137</f>
        <v>Liverpool</v>
      </c>
      <c r="E136" s="11" t="str">
        <f>'1a FASE'!E137</f>
        <v>Liverpool</v>
      </c>
      <c r="F136" s="11" t="str">
        <f>'1a FASE'!F137</f>
        <v>Liverpool</v>
      </c>
      <c r="G136" s="11" t="str">
        <f>'1a FASE'!G137</f>
        <v>Liverpool</v>
      </c>
      <c r="H136" s="11" t="str">
        <f>'1a FASE'!H137</f>
        <v>Liverpool</v>
      </c>
      <c r="I136" s="11" t="str">
        <f>'1a FASE'!I137</f>
        <v>Liverpool</v>
      </c>
      <c r="J136" s="11" t="str">
        <f>'1a FASE'!J137</f>
        <v>Liverpool</v>
      </c>
      <c r="K136" s="11" t="str">
        <f>'1a FASE'!K137</f>
        <v>Liverpool</v>
      </c>
      <c r="L136" s="11" t="str">
        <f>'1a FASE'!L137</f>
        <v>Liverpool</v>
      </c>
      <c r="M136" s="11" t="str">
        <f>'1a FASE'!M137</f>
        <v>Liverpool</v>
      </c>
      <c r="N136" s="11" t="str">
        <f>'1a FASE'!N137</f>
        <v>Liverpool</v>
      </c>
      <c r="O136" s="11" t="str">
        <f>'1a FASE'!O137</f>
        <v>Liverpool</v>
      </c>
      <c r="P136" s="11" t="str">
        <f>'1a FASE'!P137</f>
        <v>Liverpool</v>
      </c>
      <c r="Q136" s="11" t="str">
        <f>'1a FASE'!Q137</f>
        <v>Liverpool</v>
      </c>
      <c r="R136" s="11" t="str">
        <f>'1a FASE'!R137</f>
        <v>Liverpool</v>
      </c>
      <c r="S136" s="11" t="str">
        <f>'1a FASE'!S137</f>
        <v>Liverpool</v>
      </c>
      <c r="T136" s="11" t="str">
        <f>'1a FASE'!T137</f>
        <v>Liverpool</v>
      </c>
      <c r="U136" s="11" t="str">
        <f>'1a FASE'!U137</f>
        <v>Liverpool</v>
      </c>
      <c r="V136" s="11" t="str">
        <f>'1a FASE'!V137</f>
        <v>Liverpool</v>
      </c>
      <c r="W136" s="11" t="str">
        <f>'1a FASE'!W137</f>
        <v>Liverpool</v>
      </c>
      <c r="X136" s="11">
        <f>+IF(C136=$B136,Pesos!$L$3,0)*IF(COUNTIF($C136:$W136,C136)=1,2,1)</f>
        <v>0.85</v>
      </c>
      <c r="Y136" s="11">
        <f>+IF(D136=$B136,Pesos!$L$3,0)*IF(COUNTIF($C136:$W136,D136)=1,2,1)</f>
        <v>0.85</v>
      </c>
      <c r="Z136" s="11">
        <f>+IF(E136=$B136,Pesos!$L$3,0)*IF(COUNTIF($C136:$W136,E136)=1,2,1)</f>
        <v>0.85</v>
      </c>
      <c r="AA136" s="11">
        <f>+IF(F136=$B136,Pesos!$L$3,0)*IF(COUNTIF($C136:$W136,F136)=1,2,1)</f>
        <v>0.85</v>
      </c>
      <c r="AB136" s="11">
        <f>+IF(G136=$B136,Pesos!$L$3,0)*IF(COUNTIF($C136:$W136,G136)=1,2,1)</f>
        <v>0.85</v>
      </c>
      <c r="AC136" s="11">
        <f>+IF(H136=$B136,Pesos!$L$3,0)*IF(COUNTIF($C136:$W136,H136)=1,2,1)</f>
        <v>0.85</v>
      </c>
      <c r="AD136" s="11">
        <f>+IF(I136=$B136,Pesos!$L$3,0)*IF(COUNTIF($C136:$W136,I136)=1,2,1)</f>
        <v>0.85</v>
      </c>
      <c r="AE136" s="11">
        <f>+IF(J136=$B136,Pesos!$L$3,0)*IF(COUNTIF($C136:$W136,J136)=1,2,1)</f>
        <v>0.85</v>
      </c>
      <c r="AF136" s="11">
        <f>+IF(K136=$B136,Pesos!$L$3,0)*IF(COUNTIF($C136:$W136,K136)=1,2,1)</f>
        <v>0.85</v>
      </c>
      <c r="AG136" s="11">
        <f>+IF(L136=$B136,Pesos!$L$3,0)*IF(COUNTIF($C136:$W136,L136)=1,2,1)</f>
        <v>0.85</v>
      </c>
      <c r="AH136" s="11">
        <f>+IF(M136=$B136,Pesos!$L$3,0)*IF(COUNTIF($C136:$W136,M136)=1,2,1)</f>
        <v>0.85</v>
      </c>
      <c r="AI136" s="11">
        <f>+IF(N136=$B136,Pesos!$L$3,0)*IF(COUNTIF($C136:$W136,N136)=1,2,1)</f>
        <v>0.85</v>
      </c>
      <c r="AJ136" s="11">
        <f>+IF(O136=$B136,Pesos!$L$3,0)*IF(COUNTIF($C136:$W136,O136)=1,2,1)</f>
        <v>0.85</v>
      </c>
      <c r="AK136" s="11">
        <f>+IF(P136=$B136,Pesos!$L$3,0)*IF(COUNTIF($C136:$W136,P136)=1,2,1)</f>
        <v>0.85</v>
      </c>
      <c r="AL136" s="11">
        <f>+IF(Q136=$B136,Pesos!$L$3,0)*IF(COUNTIF($C136:$W136,Q136)=1,2,1)</f>
        <v>0.85</v>
      </c>
      <c r="AM136" s="11">
        <f>+IF(R136=$B136,Pesos!$L$3,0)*IF(COUNTIF($C136:$W136,R136)=1,2,1)</f>
        <v>0.85</v>
      </c>
      <c r="AN136" s="11">
        <f>+IF(S136=$B136,Pesos!$L$3,0)*IF(COUNTIF($C136:$W136,S136)=1,2,1)</f>
        <v>0.85</v>
      </c>
      <c r="AO136" s="11">
        <f>+IF(T136=$B136,Pesos!$L$3,0)*IF(COUNTIF($C136:$W136,T136)=1,2,1)</f>
        <v>0.85</v>
      </c>
      <c r="AP136" s="11">
        <f>+IF(U136=$B136,Pesos!$L$3,0)*IF(COUNTIF($C136:$W136,U136)=1,2,1)</f>
        <v>0.85</v>
      </c>
      <c r="AQ136" s="11">
        <f>+IF(V136=$B136,Pesos!$L$3,0)*IF(COUNTIF($C136:$W136,V136)=1,2,1)</f>
        <v>0.85</v>
      </c>
      <c r="AR136" s="11">
        <f>+IF(W136=$B136,Pesos!$L$3,0)*IF(COUNTIF($C136:$W136,W136)=1,2,1)</f>
        <v>0.85</v>
      </c>
    </row>
    <row r="137" ht="12.75" customHeight="1">
      <c r="A137" s="1" t="str">
        <f>'1a FASE'!A138</f>
        <v>Machtday 8</v>
      </c>
      <c r="B137" s="8" t="str">
        <f>'1a FASE'!B138</f>
        <v>Internazionale</v>
      </c>
      <c r="C137" s="10" t="str">
        <f>'1a FASE'!C138</f>
        <v>Empate</v>
      </c>
      <c r="D137" s="10" t="str">
        <f>'1a FASE'!D138</f>
        <v>Borussia Dortmund</v>
      </c>
      <c r="E137" s="10" t="str">
        <f>'1a FASE'!E138</f>
        <v>Borussia Dortmund</v>
      </c>
      <c r="F137" s="10" t="str">
        <f>'1a FASE'!F138</f>
        <v>Borussia Dortmund</v>
      </c>
      <c r="G137" s="10" t="str">
        <f>'1a FASE'!G138</f>
        <v>Borussia Dortmund</v>
      </c>
      <c r="H137" s="10" t="str">
        <f>'1a FASE'!H138</f>
        <v>Borussia Dortmund</v>
      </c>
      <c r="I137" s="10" t="str">
        <f>'1a FASE'!I138</f>
        <v>Borussia Dortmund</v>
      </c>
      <c r="J137" s="10" t="str">
        <f>'1a FASE'!J138</f>
        <v>Borussia Dortmund</v>
      </c>
      <c r="K137" s="10" t="str">
        <f>'1a FASE'!K138</f>
        <v>Borussia Dortmund</v>
      </c>
      <c r="L137" s="10" t="str">
        <f>'1a FASE'!L138</f>
        <v>Empate</v>
      </c>
      <c r="M137" s="10" t="str">
        <f>'1a FASE'!M138</f>
        <v>Empate</v>
      </c>
      <c r="N137" s="10" t="str">
        <f>'1a FASE'!N138</f>
        <v>Internazionale</v>
      </c>
      <c r="O137" s="10" t="str">
        <f>'1a FASE'!O138</f>
        <v>Empate</v>
      </c>
      <c r="P137" s="10" t="str">
        <f>'1a FASE'!P138</f>
        <v>Borussia Dortmund</v>
      </c>
      <c r="Q137" s="10" t="str">
        <f>'1a FASE'!Q138</f>
        <v>Empate</v>
      </c>
      <c r="R137" s="10" t="str">
        <f>'1a FASE'!R138</f>
        <v>Internazionale</v>
      </c>
      <c r="S137" s="10" t="str">
        <f>'1a FASE'!S138</f>
        <v>Borussia Dortmund</v>
      </c>
      <c r="T137" s="10" t="str">
        <f>'1a FASE'!T138</f>
        <v>Borussia Dortmund</v>
      </c>
      <c r="U137" s="10" t="str">
        <f>'1a FASE'!U138</f>
        <v>Borussia Dortmund</v>
      </c>
      <c r="V137" s="10" t="str">
        <f>'1a FASE'!V138</f>
        <v>Borussia Dortmund</v>
      </c>
      <c r="W137" s="10" t="str">
        <f>'1a FASE'!W138</f>
        <v>Empate</v>
      </c>
      <c r="X137" s="10">
        <f>+IF(C137=$B137,Pesos!$L$3,0)*IF(COUNTIF($C137:$W137,C137)=1,2,1)</f>
        <v>0</v>
      </c>
      <c r="Y137" s="10">
        <f>+IF(D137=$B137,Pesos!$L$3,0)*IF(COUNTIF($C137:$W137,D137)=1,2,1)</f>
        <v>0</v>
      </c>
      <c r="Z137" s="10">
        <f>+IF(E137=$B137,Pesos!$L$3,0)*IF(COUNTIF($C137:$W137,E137)=1,2,1)</f>
        <v>0</v>
      </c>
      <c r="AA137" s="10">
        <f>+IF(F137=$B137,Pesos!$L$3,0)*IF(COUNTIF($C137:$W137,F137)=1,2,1)</f>
        <v>0</v>
      </c>
      <c r="AB137" s="10">
        <f>+IF(G137=$B137,Pesos!$L$3,0)*IF(COUNTIF($C137:$W137,G137)=1,2,1)</f>
        <v>0</v>
      </c>
      <c r="AC137" s="10">
        <f>+IF(H137=$B137,Pesos!$L$3,0)*IF(COUNTIF($C137:$W137,H137)=1,2,1)</f>
        <v>0</v>
      </c>
      <c r="AD137" s="10">
        <f>+IF(I137=$B137,Pesos!$L$3,0)*IF(COUNTIF($C137:$W137,I137)=1,2,1)</f>
        <v>0</v>
      </c>
      <c r="AE137" s="10">
        <f>+IF(J137=$B137,Pesos!$L$3,0)*IF(COUNTIF($C137:$W137,J137)=1,2,1)</f>
        <v>0</v>
      </c>
      <c r="AF137" s="10">
        <f>+IF(K137=$B137,Pesos!$L$3,0)*IF(COUNTIF($C137:$W137,K137)=1,2,1)</f>
        <v>0</v>
      </c>
      <c r="AG137" s="10">
        <f>+IF(L137=$B137,Pesos!$L$3,0)*IF(COUNTIF($C137:$W137,L137)=1,2,1)</f>
        <v>0</v>
      </c>
      <c r="AH137" s="10">
        <f>+IF(M137=$B137,Pesos!$L$3,0)*IF(COUNTIF($C137:$W137,M137)=1,2,1)</f>
        <v>0</v>
      </c>
      <c r="AI137" s="10">
        <f>+IF(N137=$B137,Pesos!$L$3,0)*IF(COUNTIF($C137:$W137,N137)=1,2,1)</f>
        <v>0.85</v>
      </c>
      <c r="AJ137" s="10">
        <f>+IF(O137=$B137,Pesos!$L$3,0)*IF(COUNTIF($C137:$W137,O137)=1,2,1)</f>
        <v>0</v>
      </c>
      <c r="AK137" s="10">
        <f>+IF(P137=$B137,Pesos!$L$3,0)*IF(COUNTIF($C137:$W137,P137)=1,2,1)</f>
        <v>0</v>
      </c>
      <c r="AL137" s="10">
        <f>+IF(Q137=$B137,Pesos!$L$3,0)*IF(COUNTIF($C137:$W137,Q137)=1,2,1)</f>
        <v>0</v>
      </c>
      <c r="AM137" s="10">
        <f>+IF(R137=$B137,Pesos!$L$3,0)*IF(COUNTIF($C137:$W137,R137)=1,2,1)</f>
        <v>0.85</v>
      </c>
      <c r="AN137" s="10">
        <f>+IF(S137=$B137,Pesos!$L$3,0)*IF(COUNTIF($C137:$W137,S137)=1,2,1)</f>
        <v>0</v>
      </c>
      <c r="AO137" s="10">
        <f>+IF(T137=$B137,Pesos!$L$3,0)*IF(COUNTIF($C137:$W137,T137)=1,2,1)</f>
        <v>0</v>
      </c>
      <c r="AP137" s="10">
        <f>+IF(U137=$B137,Pesos!$L$3,0)*IF(COUNTIF($C137:$W137,U137)=1,2,1)</f>
        <v>0</v>
      </c>
      <c r="AQ137" s="10">
        <f>+IF(V137=$B137,Pesos!$L$3,0)*IF(COUNTIF($C137:$W137,V137)=1,2,1)</f>
        <v>0</v>
      </c>
      <c r="AR137" s="10">
        <f>+IF(W137=$B137,Pesos!$L$3,0)*IF(COUNTIF($C137:$W137,W137)=1,2,1)</f>
        <v>0</v>
      </c>
    </row>
    <row r="138" ht="12.75" customHeight="1">
      <c r="A138" s="1" t="str">
        <f>'1a FASE'!A139</f>
        <v>Machtday 8</v>
      </c>
      <c r="B138" s="8" t="str">
        <f>'1a FASE'!B139</f>
        <v>Barcelona</v>
      </c>
      <c r="C138" s="11" t="str">
        <f>'1a FASE'!C139</f>
        <v>Barcelona</v>
      </c>
      <c r="D138" s="11" t="str">
        <f>'1a FASE'!D139</f>
        <v>Barcelona</v>
      </c>
      <c r="E138" s="11" t="str">
        <f>'1a FASE'!E139</f>
        <v>Barcelona</v>
      </c>
      <c r="F138" s="11" t="str">
        <f>'1a FASE'!F139</f>
        <v>Barcelona</v>
      </c>
      <c r="G138" s="11" t="str">
        <f>'1a FASE'!G139</f>
        <v>Barcelona</v>
      </c>
      <c r="H138" s="11" t="str">
        <f>'1a FASE'!H139</f>
        <v>Barcelona</v>
      </c>
      <c r="I138" s="11" t="str">
        <f>'1a FASE'!I139</f>
        <v>Barcelona</v>
      </c>
      <c r="J138" s="11" t="str">
        <f>'1a FASE'!J139</f>
        <v>Barcelona</v>
      </c>
      <c r="K138" s="11" t="str">
        <f>'1a FASE'!K139</f>
        <v>Barcelona</v>
      </c>
      <c r="L138" s="11" t="str">
        <f>'1a FASE'!L139</f>
        <v>Barcelona</v>
      </c>
      <c r="M138" s="11" t="str">
        <f>'1a FASE'!M139</f>
        <v>Barcelona</v>
      </c>
      <c r="N138" s="11" t="str">
        <f>'1a FASE'!N139</f>
        <v>Barcelona</v>
      </c>
      <c r="O138" s="11" t="str">
        <f>'1a FASE'!O139</f>
        <v>Barcelona</v>
      </c>
      <c r="P138" s="11" t="str">
        <f>'1a FASE'!P139</f>
        <v>Barcelona</v>
      </c>
      <c r="Q138" s="11" t="str">
        <f>'1a FASE'!Q139</f>
        <v>Barcelona</v>
      </c>
      <c r="R138" s="11" t="str">
        <f>'1a FASE'!R139</f>
        <v>Barcelona</v>
      </c>
      <c r="S138" s="11" t="str">
        <f>'1a FASE'!S139</f>
        <v>Barcelona</v>
      </c>
      <c r="T138" s="11" t="str">
        <f>'1a FASE'!T139</f>
        <v>Barcelona</v>
      </c>
      <c r="U138" s="11" t="str">
        <f>'1a FASE'!U139</f>
        <v>Barcelona</v>
      </c>
      <c r="V138" s="11" t="str">
        <f>'1a FASE'!V139</f>
        <v>Barcelona</v>
      </c>
      <c r="W138" s="11" t="str">
        <f>'1a FASE'!W139</f>
        <v>Barcelona</v>
      </c>
      <c r="X138" s="11">
        <f>+IF(C138=$B138,Pesos!$L$3,0)*IF(COUNTIF($C138:$W138,C138)=1,2,1)</f>
        <v>0.85</v>
      </c>
      <c r="Y138" s="11">
        <f>+IF(D138=$B138,Pesos!$L$3,0)*IF(COUNTIF($C138:$W138,D138)=1,2,1)</f>
        <v>0.85</v>
      </c>
      <c r="Z138" s="11">
        <f>+IF(E138=$B138,Pesos!$L$3,0)*IF(COUNTIF($C138:$W138,E138)=1,2,1)</f>
        <v>0.85</v>
      </c>
      <c r="AA138" s="11">
        <f>+IF(F138=$B138,Pesos!$L$3,0)*IF(COUNTIF($C138:$W138,F138)=1,2,1)</f>
        <v>0.85</v>
      </c>
      <c r="AB138" s="11">
        <f>+IF(G138=$B138,Pesos!$L$3,0)*IF(COUNTIF($C138:$W138,G138)=1,2,1)</f>
        <v>0.85</v>
      </c>
      <c r="AC138" s="11">
        <f>+IF(H138=$B138,Pesos!$L$3,0)*IF(COUNTIF($C138:$W138,H138)=1,2,1)</f>
        <v>0.85</v>
      </c>
      <c r="AD138" s="11">
        <f>+IF(I138=$B138,Pesos!$L$3,0)*IF(COUNTIF($C138:$W138,I138)=1,2,1)</f>
        <v>0.85</v>
      </c>
      <c r="AE138" s="11">
        <f>+IF(J138=$B138,Pesos!$L$3,0)*IF(COUNTIF($C138:$W138,J138)=1,2,1)</f>
        <v>0.85</v>
      </c>
      <c r="AF138" s="11">
        <f>+IF(K138=$B138,Pesos!$L$3,0)*IF(COUNTIF($C138:$W138,K138)=1,2,1)</f>
        <v>0.85</v>
      </c>
      <c r="AG138" s="11">
        <f>+IF(L138=$B138,Pesos!$L$3,0)*IF(COUNTIF($C138:$W138,L138)=1,2,1)</f>
        <v>0.85</v>
      </c>
      <c r="AH138" s="11">
        <f>+IF(M138=$B138,Pesos!$L$3,0)*IF(COUNTIF($C138:$W138,M138)=1,2,1)</f>
        <v>0.85</v>
      </c>
      <c r="AI138" s="11">
        <f>+IF(N138=$B138,Pesos!$L$3,0)*IF(COUNTIF($C138:$W138,N138)=1,2,1)</f>
        <v>0.85</v>
      </c>
      <c r="AJ138" s="11">
        <f>+IF(O138=$B138,Pesos!$L$3,0)*IF(COUNTIF($C138:$W138,O138)=1,2,1)</f>
        <v>0.85</v>
      </c>
      <c r="AK138" s="11">
        <f>+IF(P138=$B138,Pesos!$L$3,0)*IF(COUNTIF($C138:$W138,P138)=1,2,1)</f>
        <v>0.85</v>
      </c>
      <c r="AL138" s="11">
        <f>+IF(Q138=$B138,Pesos!$L$3,0)*IF(COUNTIF($C138:$W138,Q138)=1,2,1)</f>
        <v>0.85</v>
      </c>
      <c r="AM138" s="11">
        <f>+IF(R138=$B138,Pesos!$L$3,0)*IF(COUNTIF($C138:$W138,R138)=1,2,1)</f>
        <v>0.85</v>
      </c>
      <c r="AN138" s="11">
        <f>+IF(S138=$B138,Pesos!$L$3,0)*IF(COUNTIF($C138:$W138,S138)=1,2,1)</f>
        <v>0.85</v>
      </c>
      <c r="AO138" s="11">
        <f>+IF(T138=$B138,Pesos!$L$3,0)*IF(COUNTIF($C138:$W138,T138)=1,2,1)</f>
        <v>0.85</v>
      </c>
      <c r="AP138" s="11">
        <f>+IF(U138=$B138,Pesos!$L$3,0)*IF(COUNTIF($C138:$W138,U138)=1,2,1)</f>
        <v>0.85</v>
      </c>
      <c r="AQ138" s="11">
        <f>+IF(V138=$B138,Pesos!$L$3,0)*IF(COUNTIF($C138:$W138,V138)=1,2,1)</f>
        <v>0.85</v>
      </c>
      <c r="AR138" s="11">
        <f>+IF(W138=$B138,Pesos!$L$3,0)*IF(COUNTIF($C138:$W138,W138)=1,2,1)</f>
        <v>0.85</v>
      </c>
    </row>
    <row r="139" ht="12.75" customHeight="1">
      <c r="A139" s="1" t="str">
        <f>'1a FASE'!A140</f>
        <v>Machtday 8</v>
      </c>
      <c r="B139" s="8" t="str">
        <f>'1a FASE'!B140</f>
        <v>Arsenal</v>
      </c>
      <c r="C139" s="10" t="str">
        <f>'1a FASE'!C140</f>
        <v>Arsenal</v>
      </c>
      <c r="D139" s="10" t="str">
        <f>'1a FASE'!D140</f>
        <v>Arsenal</v>
      </c>
      <c r="E139" s="10" t="str">
        <f>'1a FASE'!E140</f>
        <v>Arsenal</v>
      </c>
      <c r="F139" s="10" t="str">
        <f>'1a FASE'!F140</f>
        <v>Arsenal</v>
      </c>
      <c r="G139" s="10" t="str">
        <f>'1a FASE'!G140</f>
        <v>Arsenal</v>
      </c>
      <c r="H139" s="10" t="str">
        <f>'1a FASE'!H140</f>
        <v>Arsenal</v>
      </c>
      <c r="I139" s="10" t="str">
        <f>'1a FASE'!I140</f>
        <v>Arsenal</v>
      </c>
      <c r="J139" s="10" t="str">
        <f>'1a FASE'!J140</f>
        <v>Arsenal</v>
      </c>
      <c r="K139" s="10" t="str">
        <f>'1a FASE'!K140</f>
        <v>Arsenal</v>
      </c>
      <c r="L139" s="10" t="str">
        <f>'1a FASE'!L140</f>
        <v>Arsenal</v>
      </c>
      <c r="M139" s="10" t="str">
        <f>'1a FASE'!M140</f>
        <v>Arsenal</v>
      </c>
      <c r="N139" s="10" t="str">
        <f>'1a FASE'!N140</f>
        <v>Arsenal</v>
      </c>
      <c r="O139" s="10" t="str">
        <f>'1a FASE'!O140</f>
        <v>Arsenal</v>
      </c>
      <c r="P139" s="10" t="str">
        <f>'1a FASE'!P140</f>
        <v>Arsenal</v>
      </c>
      <c r="Q139" s="10" t="str">
        <f>'1a FASE'!Q140</f>
        <v>Arsenal</v>
      </c>
      <c r="R139" s="10" t="str">
        <f>'1a FASE'!R140</f>
        <v>Arsenal</v>
      </c>
      <c r="S139" s="10" t="str">
        <f>'1a FASE'!S140</f>
        <v>Arsenal</v>
      </c>
      <c r="T139" s="10" t="str">
        <f>'1a FASE'!T140</f>
        <v>Arsenal</v>
      </c>
      <c r="U139" s="10" t="str">
        <f>'1a FASE'!U140</f>
        <v>Arsenal</v>
      </c>
      <c r="V139" s="10" t="str">
        <f>'1a FASE'!V140</f>
        <v>Arsenal</v>
      </c>
      <c r="W139" s="10" t="str">
        <f>'1a FASE'!W140</f>
        <v>Arsenal</v>
      </c>
      <c r="X139" s="10">
        <f>+IF(C139=$B139,Pesos!$L$3,0)*IF(COUNTIF($C139:$W139,C139)=1,2,1)</f>
        <v>0.85</v>
      </c>
      <c r="Y139" s="10">
        <f>+IF(D139=$B139,Pesos!$L$3,0)*IF(COUNTIF($C139:$W139,D139)=1,2,1)</f>
        <v>0.85</v>
      </c>
      <c r="Z139" s="10">
        <f>+IF(E139=$B139,Pesos!$L$3,0)*IF(COUNTIF($C139:$W139,E139)=1,2,1)</f>
        <v>0.85</v>
      </c>
      <c r="AA139" s="10">
        <f>+IF(F139=$B139,Pesos!$L$3,0)*IF(COUNTIF($C139:$W139,F139)=1,2,1)</f>
        <v>0.85</v>
      </c>
      <c r="AB139" s="10">
        <f>+IF(G139=$B139,Pesos!$L$3,0)*IF(COUNTIF($C139:$W139,G139)=1,2,1)</f>
        <v>0.85</v>
      </c>
      <c r="AC139" s="10">
        <f>+IF(H139=$B139,Pesos!$L$3,0)*IF(COUNTIF($C139:$W139,H139)=1,2,1)</f>
        <v>0.85</v>
      </c>
      <c r="AD139" s="10">
        <f>+IF(I139=$B139,Pesos!$L$3,0)*IF(COUNTIF($C139:$W139,I139)=1,2,1)</f>
        <v>0.85</v>
      </c>
      <c r="AE139" s="10">
        <f>+IF(J139=$B139,Pesos!$L$3,0)*IF(COUNTIF($C139:$W139,J139)=1,2,1)</f>
        <v>0.85</v>
      </c>
      <c r="AF139" s="10">
        <f>+IF(K139=$B139,Pesos!$L$3,0)*IF(COUNTIF($C139:$W139,K139)=1,2,1)</f>
        <v>0.85</v>
      </c>
      <c r="AG139" s="10">
        <f>+IF(L139=$B139,Pesos!$L$3,0)*IF(COUNTIF($C139:$W139,L139)=1,2,1)</f>
        <v>0.85</v>
      </c>
      <c r="AH139" s="10">
        <f>+IF(M139=$B139,Pesos!$L$3,0)*IF(COUNTIF($C139:$W139,M139)=1,2,1)</f>
        <v>0.85</v>
      </c>
      <c r="AI139" s="10">
        <f>+IF(N139=$B139,Pesos!$L$3,0)*IF(COUNTIF($C139:$W139,N139)=1,2,1)</f>
        <v>0.85</v>
      </c>
      <c r="AJ139" s="10">
        <f>+IF(O139=$B139,Pesos!$L$3,0)*IF(COUNTIF($C139:$W139,O139)=1,2,1)</f>
        <v>0.85</v>
      </c>
      <c r="AK139" s="10">
        <f>+IF(P139=$B139,Pesos!$L$3,0)*IF(COUNTIF($C139:$W139,P139)=1,2,1)</f>
        <v>0.85</v>
      </c>
      <c r="AL139" s="10">
        <f>+IF(Q139=$B139,Pesos!$L$3,0)*IF(COUNTIF($C139:$W139,Q139)=1,2,1)</f>
        <v>0.85</v>
      </c>
      <c r="AM139" s="10">
        <f>+IF(R139=$B139,Pesos!$L$3,0)*IF(COUNTIF($C139:$W139,R139)=1,2,1)</f>
        <v>0.85</v>
      </c>
      <c r="AN139" s="10">
        <f>+IF(S139=$B139,Pesos!$L$3,0)*IF(COUNTIF($C139:$W139,S139)=1,2,1)</f>
        <v>0.85</v>
      </c>
      <c r="AO139" s="10">
        <f>+IF(T139=$B139,Pesos!$L$3,0)*IF(COUNTIF($C139:$W139,T139)=1,2,1)</f>
        <v>0.85</v>
      </c>
      <c r="AP139" s="10">
        <f>+IF(U139=$B139,Pesos!$L$3,0)*IF(COUNTIF($C139:$W139,U139)=1,2,1)</f>
        <v>0.85</v>
      </c>
      <c r="AQ139" s="10">
        <f>+IF(V139=$B139,Pesos!$L$3,0)*IF(COUNTIF($C139:$W139,V139)=1,2,1)</f>
        <v>0.85</v>
      </c>
      <c r="AR139" s="10">
        <f>+IF(W139=$B139,Pesos!$L$3,0)*IF(COUNTIF($C139:$W139,W139)=1,2,1)</f>
        <v>0.85</v>
      </c>
    </row>
    <row r="140" ht="12.75" customHeight="1">
      <c r="A140" s="1" t="str">
        <f>'1a FASE'!A141</f>
        <v>Machtday 8</v>
      </c>
      <c r="B140" s="8" t="str">
        <f>'1a FASE'!B141</f>
        <v>Bayer Leverkusen</v>
      </c>
      <c r="C140" s="11" t="str">
        <f>'1a FASE'!C141</f>
        <v>Bayer Leverkusen</v>
      </c>
      <c r="D140" s="11" t="str">
        <f>'1a FASE'!D141</f>
        <v>Bayer Leverkusen</v>
      </c>
      <c r="E140" s="11" t="str">
        <f>'1a FASE'!E141</f>
        <v>Bayer Leverkusen</v>
      </c>
      <c r="F140" s="11" t="str">
        <f>'1a FASE'!F141</f>
        <v>Bayer Leverkusen</v>
      </c>
      <c r="G140" s="11" t="str">
        <f>'1a FASE'!G141</f>
        <v>Bayer Leverkusen</v>
      </c>
      <c r="H140" s="11" t="str">
        <f>'1a FASE'!H141</f>
        <v>Bayer Leverkusen</v>
      </c>
      <c r="I140" s="11" t="str">
        <f>'1a FASE'!I141</f>
        <v>Bayer Leverkusen</v>
      </c>
      <c r="J140" s="11" t="str">
        <f>'1a FASE'!J141</f>
        <v>Bayer Leverkusen</v>
      </c>
      <c r="K140" s="11" t="str">
        <f>'1a FASE'!K141</f>
        <v>Bayer Leverkusen</v>
      </c>
      <c r="L140" s="11" t="str">
        <f>'1a FASE'!L141</f>
        <v>Bayer Leverkusen</v>
      </c>
      <c r="M140" s="11" t="str">
        <f>'1a FASE'!M141</f>
        <v>Empate</v>
      </c>
      <c r="N140" s="11" t="str">
        <f>'1a FASE'!N141</f>
        <v>Bayer Leverkusen</v>
      </c>
      <c r="O140" s="11" t="str">
        <f>'1a FASE'!O141</f>
        <v>Bayer Leverkusen</v>
      </c>
      <c r="P140" s="11" t="str">
        <f>'1a FASE'!P141</f>
        <v>Bayer Leverkusen</v>
      </c>
      <c r="Q140" s="11" t="str">
        <f>'1a FASE'!Q141</f>
        <v>Bayer Leverkusen</v>
      </c>
      <c r="R140" s="11" t="str">
        <f>'1a FASE'!R141</f>
        <v>Bayer Leverkusen</v>
      </c>
      <c r="S140" s="11" t="str">
        <f>'1a FASE'!S141</f>
        <v>Empate</v>
      </c>
      <c r="T140" s="11" t="str">
        <f>'1a FASE'!T141</f>
        <v>Bayer Leverkusen</v>
      </c>
      <c r="U140" s="11" t="str">
        <f>'1a FASE'!U141</f>
        <v>Bayer Leverkusen</v>
      </c>
      <c r="V140" s="11" t="str">
        <f>'1a FASE'!V141</f>
        <v>Bayer Leverkusen</v>
      </c>
      <c r="W140" s="11" t="str">
        <f>'1a FASE'!W141</f>
        <v>Bayer Leverkusen</v>
      </c>
      <c r="X140" s="11">
        <f>+IF(C140=$B140,Pesos!$L$3,0)*IF(COUNTIF($C140:$W140,C140)=1,2,1)</f>
        <v>0.85</v>
      </c>
      <c r="Y140" s="11">
        <f>+IF(D140=$B140,Pesos!$L$3,0)*IF(COUNTIF($C140:$W140,D140)=1,2,1)</f>
        <v>0.85</v>
      </c>
      <c r="Z140" s="11">
        <f>+IF(E140=$B140,Pesos!$L$3,0)*IF(COUNTIF($C140:$W140,E140)=1,2,1)</f>
        <v>0.85</v>
      </c>
      <c r="AA140" s="11">
        <f>+IF(F140=$B140,Pesos!$L$3,0)*IF(COUNTIF($C140:$W140,F140)=1,2,1)</f>
        <v>0.85</v>
      </c>
      <c r="AB140" s="11">
        <f>+IF(G140=$B140,Pesos!$L$3,0)*IF(COUNTIF($C140:$W140,G140)=1,2,1)</f>
        <v>0.85</v>
      </c>
      <c r="AC140" s="11">
        <f>+IF(H140=$B140,Pesos!$L$3,0)*IF(COUNTIF($C140:$W140,H140)=1,2,1)</f>
        <v>0.85</v>
      </c>
      <c r="AD140" s="11">
        <f>+IF(I140=$B140,Pesos!$L$3,0)*IF(COUNTIF($C140:$W140,I140)=1,2,1)</f>
        <v>0.85</v>
      </c>
      <c r="AE140" s="11">
        <f>+IF(J140=$B140,Pesos!$L$3,0)*IF(COUNTIF($C140:$W140,J140)=1,2,1)</f>
        <v>0.85</v>
      </c>
      <c r="AF140" s="11">
        <f>+IF(K140=$B140,Pesos!$L$3,0)*IF(COUNTIF($C140:$W140,K140)=1,2,1)</f>
        <v>0.85</v>
      </c>
      <c r="AG140" s="11">
        <f>+IF(L140=$B140,Pesos!$L$3,0)*IF(COUNTIF($C140:$W140,L140)=1,2,1)</f>
        <v>0.85</v>
      </c>
      <c r="AH140" s="11">
        <f>+IF(M140=$B140,Pesos!$L$3,0)*IF(COUNTIF($C140:$W140,M140)=1,2,1)</f>
        <v>0</v>
      </c>
      <c r="AI140" s="11">
        <f>+IF(N140=$B140,Pesos!$L$3,0)*IF(COUNTIF($C140:$W140,N140)=1,2,1)</f>
        <v>0.85</v>
      </c>
      <c r="AJ140" s="11">
        <f>+IF(O140=$B140,Pesos!$L$3,0)*IF(COUNTIF($C140:$W140,O140)=1,2,1)</f>
        <v>0.85</v>
      </c>
      <c r="AK140" s="11">
        <f>+IF(P140=$B140,Pesos!$L$3,0)*IF(COUNTIF($C140:$W140,P140)=1,2,1)</f>
        <v>0.85</v>
      </c>
      <c r="AL140" s="11">
        <f>+IF(Q140=$B140,Pesos!$L$3,0)*IF(COUNTIF($C140:$W140,Q140)=1,2,1)</f>
        <v>0.85</v>
      </c>
      <c r="AM140" s="11">
        <f>+IF(R140=$B140,Pesos!$L$3,0)*IF(COUNTIF($C140:$W140,R140)=1,2,1)</f>
        <v>0.85</v>
      </c>
      <c r="AN140" s="11">
        <f>+IF(S140=$B140,Pesos!$L$3,0)*IF(COUNTIF($C140:$W140,S140)=1,2,1)</f>
        <v>0</v>
      </c>
      <c r="AO140" s="11">
        <f>+IF(T140=$B140,Pesos!$L$3,0)*IF(COUNTIF($C140:$W140,T140)=1,2,1)</f>
        <v>0.85</v>
      </c>
      <c r="AP140" s="11">
        <f>+IF(U140=$B140,Pesos!$L$3,0)*IF(COUNTIF($C140:$W140,U140)=1,2,1)</f>
        <v>0.85</v>
      </c>
      <c r="AQ140" s="11">
        <f>+IF(V140=$B140,Pesos!$L$3,0)*IF(COUNTIF($C140:$W140,V140)=1,2,1)</f>
        <v>0.85</v>
      </c>
      <c r="AR140" s="11">
        <f>+IF(W140=$B140,Pesos!$L$3,0)*IF(COUNTIF($C140:$W140,W140)=1,2,1)</f>
        <v>0.85</v>
      </c>
    </row>
    <row r="141" ht="12.75" customHeight="1">
      <c r="A141" s="1" t="str">
        <f>'1a FASE'!A142</f>
        <v>Machtday 8</v>
      </c>
      <c r="B141" s="8" t="str">
        <f>'1a FASE'!B142</f>
        <v>Bodö/Glimt</v>
      </c>
      <c r="C141" s="10" t="str">
        <f>'1a FASE'!C142</f>
        <v>Atlético de Madrid</v>
      </c>
      <c r="D141" s="10" t="str">
        <f>'1a FASE'!D142</f>
        <v>Atlético de Madrid</v>
      </c>
      <c r="E141" s="10" t="str">
        <f>'1a FASE'!E142</f>
        <v>Atlético de Madrid</v>
      </c>
      <c r="F141" s="10" t="str">
        <f>'1a FASE'!F142</f>
        <v>Atlético de Madrid</v>
      </c>
      <c r="G141" s="10" t="str">
        <f>'1a FASE'!G142</f>
        <v>Atlético de Madrid</v>
      </c>
      <c r="H141" s="10" t="str">
        <f>'1a FASE'!H142</f>
        <v>Atlético de Madrid</v>
      </c>
      <c r="I141" s="10" t="str">
        <f>'1a FASE'!I142</f>
        <v>Atlético de Madrid</v>
      </c>
      <c r="J141" s="10" t="str">
        <f>'1a FASE'!J142</f>
        <v>Atlético de Madrid</v>
      </c>
      <c r="K141" s="10" t="str">
        <f>'1a FASE'!K142</f>
        <v>Atlético de Madrid</v>
      </c>
      <c r="L141" s="10" t="str">
        <f>'1a FASE'!L142</f>
        <v>Atlético de Madrid</v>
      </c>
      <c r="M141" s="10" t="str">
        <f>'1a FASE'!M142</f>
        <v>Atlético de Madrid</v>
      </c>
      <c r="N141" s="10" t="str">
        <f>'1a FASE'!N142</f>
        <v>Atlético de Madrid</v>
      </c>
      <c r="O141" s="10" t="str">
        <f>'1a FASE'!O142</f>
        <v>Atlético de Madrid</v>
      </c>
      <c r="P141" s="10" t="str">
        <f>'1a FASE'!P142</f>
        <v>Atlético de Madrid</v>
      </c>
      <c r="Q141" s="10" t="str">
        <f>'1a FASE'!Q142</f>
        <v>Atlético de Madrid</v>
      </c>
      <c r="R141" s="10" t="str">
        <f>'1a FASE'!R142</f>
        <v>Atlético de Madrid</v>
      </c>
      <c r="S141" s="10" t="str">
        <f>'1a FASE'!S142</f>
        <v>Atlético de Madrid</v>
      </c>
      <c r="T141" s="10" t="str">
        <f>'1a FASE'!T142</f>
        <v>Atlético de Madrid</v>
      </c>
      <c r="U141" s="10" t="str">
        <f>'1a FASE'!U142</f>
        <v>Atlético de Madrid</v>
      </c>
      <c r="V141" s="10" t="str">
        <f>'1a FASE'!V142</f>
        <v>Atlético de Madrid</v>
      </c>
      <c r="W141" s="10" t="str">
        <f>'1a FASE'!W142</f>
        <v>Atlético de Madrid</v>
      </c>
      <c r="X141" s="10">
        <f>+IF(C141=$B141,Pesos!$L$3,0)*IF(COUNTIF($C141:$W141,C141)=1,2,1)</f>
        <v>0</v>
      </c>
      <c r="Y141" s="10">
        <f>+IF(D141=$B141,Pesos!$L$3,0)*IF(COUNTIF($C141:$W141,D141)=1,2,1)</f>
        <v>0</v>
      </c>
      <c r="Z141" s="10">
        <f>+IF(E141=$B141,Pesos!$L$3,0)*IF(COUNTIF($C141:$W141,E141)=1,2,1)</f>
        <v>0</v>
      </c>
      <c r="AA141" s="10">
        <f>+IF(F141=$B141,Pesos!$L$3,0)*IF(COUNTIF($C141:$W141,F141)=1,2,1)</f>
        <v>0</v>
      </c>
      <c r="AB141" s="10">
        <f>+IF(G141=$B141,Pesos!$L$3,0)*IF(COUNTIF($C141:$W141,G141)=1,2,1)</f>
        <v>0</v>
      </c>
      <c r="AC141" s="10">
        <f>+IF(H141=$B141,Pesos!$L$3,0)*IF(COUNTIF($C141:$W141,H141)=1,2,1)</f>
        <v>0</v>
      </c>
      <c r="AD141" s="10">
        <f>+IF(I141=$B141,Pesos!$L$3,0)*IF(COUNTIF($C141:$W141,I141)=1,2,1)</f>
        <v>0</v>
      </c>
      <c r="AE141" s="10">
        <f>+IF(J141=$B141,Pesos!$L$3,0)*IF(COUNTIF($C141:$W141,J141)=1,2,1)</f>
        <v>0</v>
      </c>
      <c r="AF141" s="10">
        <f>+IF(K141=$B141,Pesos!$L$3,0)*IF(COUNTIF($C141:$W141,K141)=1,2,1)</f>
        <v>0</v>
      </c>
      <c r="AG141" s="10">
        <f>+IF(L141=$B141,Pesos!$L$3,0)*IF(COUNTIF($C141:$W141,L141)=1,2,1)</f>
        <v>0</v>
      </c>
      <c r="AH141" s="10">
        <f>+IF(M141=$B141,Pesos!$L$3,0)*IF(COUNTIF($C141:$W141,M141)=1,2,1)</f>
        <v>0</v>
      </c>
      <c r="AI141" s="10">
        <f>+IF(N141=$B141,Pesos!$L$3,0)*IF(COUNTIF($C141:$W141,N141)=1,2,1)</f>
        <v>0</v>
      </c>
      <c r="AJ141" s="10">
        <f>+IF(O141=$B141,Pesos!$L$3,0)*IF(COUNTIF($C141:$W141,O141)=1,2,1)</f>
        <v>0</v>
      </c>
      <c r="AK141" s="10">
        <f>+IF(P141=$B141,Pesos!$L$3,0)*IF(COUNTIF($C141:$W141,P141)=1,2,1)</f>
        <v>0</v>
      </c>
      <c r="AL141" s="10">
        <f>+IF(Q141=$B141,Pesos!$L$3,0)*IF(COUNTIF($C141:$W141,Q141)=1,2,1)</f>
        <v>0</v>
      </c>
      <c r="AM141" s="10">
        <f>+IF(R141=$B141,Pesos!$L$3,0)*IF(COUNTIF($C141:$W141,R141)=1,2,1)</f>
        <v>0</v>
      </c>
      <c r="AN141" s="10">
        <f>+IF(S141=$B141,Pesos!$L$3,0)*IF(COUNTIF($C141:$W141,S141)=1,2,1)</f>
        <v>0</v>
      </c>
      <c r="AO141" s="10">
        <f>+IF(T141=$B141,Pesos!$L$3,0)*IF(COUNTIF($C141:$W141,T141)=1,2,1)</f>
        <v>0</v>
      </c>
      <c r="AP141" s="10">
        <f>+IF(U141=$B141,Pesos!$L$3,0)*IF(COUNTIF($C141:$W141,U141)=1,2,1)</f>
        <v>0</v>
      </c>
      <c r="AQ141" s="10">
        <f>+IF(V141=$B141,Pesos!$L$3,0)*IF(COUNTIF($C141:$W141,V141)=1,2,1)</f>
        <v>0</v>
      </c>
      <c r="AR141" s="10">
        <f>+IF(W141=$B141,Pesos!$L$3,0)*IF(COUNTIF($C141:$W141,W141)=1,2,1)</f>
        <v>0</v>
      </c>
    </row>
    <row r="142" ht="12.75" customHeight="1">
      <c r="A142" s="1" t="str">
        <f>'1a FASE'!A143</f>
        <v>Machtday 8</v>
      </c>
      <c r="B142" s="8" t="str">
        <f>'1a FASE'!B143</f>
        <v>Benfica</v>
      </c>
      <c r="C142" s="11" t="str">
        <f>'1a FASE'!C143</f>
        <v>Real Madrid</v>
      </c>
      <c r="D142" s="11" t="str">
        <f>'1a FASE'!D143</f>
        <v>Real Madrid</v>
      </c>
      <c r="E142" s="11" t="str">
        <f>'1a FASE'!E143</f>
        <v>Real Madrid</v>
      </c>
      <c r="F142" s="11" t="str">
        <f>'1a FASE'!F143</f>
        <v>Real Madrid</v>
      </c>
      <c r="G142" s="11" t="str">
        <f>'1a FASE'!G143</f>
        <v>Empate</v>
      </c>
      <c r="H142" s="11" t="str">
        <f>'1a FASE'!H143</f>
        <v>Real Madrid</v>
      </c>
      <c r="I142" s="11" t="str">
        <f>'1a FASE'!I143</f>
        <v>Real Madrid</v>
      </c>
      <c r="J142" s="11" t="str">
        <f>'1a FASE'!J143</f>
        <v>Benfica</v>
      </c>
      <c r="K142" s="11" t="str">
        <f>'1a FASE'!K143</f>
        <v>Real Madrid</v>
      </c>
      <c r="L142" s="11" t="str">
        <f>'1a FASE'!L143</f>
        <v>Benfica</v>
      </c>
      <c r="M142" s="11" t="str">
        <f>'1a FASE'!M143</f>
        <v>Empate</v>
      </c>
      <c r="N142" s="11" t="str">
        <f>'1a FASE'!N143</f>
        <v>Real Madrid</v>
      </c>
      <c r="O142" s="11" t="str">
        <f>'1a FASE'!O143</f>
        <v>Real Madrid</v>
      </c>
      <c r="P142" s="11" t="str">
        <f>'1a FASE'!P143</f>
        <v>Real Madrid</v>
      </c>
      <c r="Q142" s="11" t="str">
        <f>'1a FASE'!Q143</f>
        <v>Real Madrid</v>
      </c>
      <c r="R142" s="11" t="str">
        <f>'1a FASE'!R143</f>
        <v>Real Madrid</v>
      </c>
      <c r="S142" s="11" t="str">
        <f>'1a FASE'!S143</f>
        <v>Real Madrid</v>
      </c>
      <c r="T142" s="11" t="str">
        <f>'1a FASE'!T143</f>
        <v>Benfica</v>
      </c>
      <c r="U142" s="11" t="str">
        <f>'1a FASE'!U143</f>
        <v>Empate</v>
      </c>
      <c r="V142" s="11" t="str">
        <f>'1a FASE'!V143</f>
        <v>Real Madrid</v>
      </c>
      <c r="W142" s="11" t="str">
        <f>'1a FASE'!W143</f>
        <v>Real Madrid</v>
      </c>
      <c r="X142" s="11">
        <f>+IF(C142=$B142,Pesos!$L$3,0)*IF(COUNTIF($C142:$W142,C142)=1,2,1)</f>
        <v>0</v>
      </c>
      <c r="Y142" s="11">
        <f>+IF(D142=$B142,Pesos!$L$3,0)*IF(COUNTIF($C142:$W142,D142)=1,2,1)</f>
        <v>0</v>
      </c>
      <c r="Z142" s="11">
        <f>+IF(E142=$B142,Pesos!$L$3,0)*IF(COUNTIF($C142:$W142,E142)=1,2,1)</f>
        <v>0</v>
      </c>
      <c r="AA142" s="11">
        <f>+IF(F142=$B142,Pesos!$L$3,0)*IF(COUNTIF($C142:$W142,F142)=1,2,1)</f>
        <v>0</v>
      </c>
      <c r="AB142" s="11">
        <f>+IF(G142=$B142,Pesos!$L$3,0)*IF(COUNTIF($C142:$W142,G142)=1,2,1)</f>
        <v>0</v>
      </c>
      <c r="AC142" s="11">
        <f>+IF(H142=$B142,Pesos!$L$3,0)*IF(COUNTIF($C142:$W142,H142)=1,2,1)</f>
        <v>0</v>
      </c>
      <c r="AD142" s="11">
        <f>+IF(I142=$B142,Pesos!$L$3,0)*IF(COUNTIF($C142:$W142,I142)=1,2,1)</f>
        <v>0</v>
      </c>
      <c r="AE142" s="11">
        <f>+IF(J142=$B142,Pesos!$L$3,0)*IF(COUNTIF($C142:$W142,J142)=1,2,1)</f>
        <v>0.85</v>
      </c>
      <c r="AF142" s="11">
        <f>+IF(K142=$B142,Pesos!$L$3,0)*IF(COUNTIF($C142:$W142,K142)=1,2,1)</f>
        <v>0</v>
      </c>
      <c r="AG142" s="11">
        <f>+IF(L142=$B142,Pesos!$L$3,0)*IF(COUNTIF($C142:$W142,L142)=1,2,1)</f>
        <v>0.85</v>
      </c>
      <c r="AH142" s="11">
        <f>+IF(M142=$B142,Pesos!$L$3,0)*IF(COUNTIF($C142:$W142,M142)=1,2,1)</f>
        <v>0</v>
      </c>
      <c r="AI142" s="11">
        <f>+IF(N142=$B142,Pesos!$L$3,0)*IF(COUNTIF($C142:$W142,N142)=1,2,1)</f>
        <v>0</v>
      </c>
      <c r="AJ142" s="11">
        <f>+IF(O142=$B142,Pesos!$L$3,0)*IF(COUNTIF($C142:$W142,O142)=1,2,1)</f>
        <v>0</v>
      </c>
      <c r="AK142" s="11">
        <f>+IF(P142=$B142,Pesos!$L$3,0)*IF(COUNTIF($C142:$W142,P142)=1,2,1)</f>
        <v>0</v>
      </c>
      <c r="AL142" s="11">
        <f>+IF(Q142=$B142,Pesos!$L$3,0)*IF(COUNTIF($C142:$W142,Q142)=1,2,1)</f>
        <v>0</v>
      </c>
      <c r="AM142" s="11">
        <f>+IF(R142=$B142,Pesos!$L$3,0)*IF(COUNTIF($C142:$W142,R142)=1,2,1)</f>
        <v>0</v>
      </c>
      <c r="AN142" s="11">
        <f>+IF(S142=$B142,Pesos!$L$3,0)*IF(COUNTIF($C142:$W142,S142)=1,2,1)</f>
        <v>0</v>
      </c>
      <c r="AO142" s="11">
        <f>+IF(T142=$B142,Pesos!$L$3,0)*IF(COUNTIF($C142:$W142,T142)=1,2,1)</f>
        <v>0.85</v>
      </c>
      <c r="AP142" s="11">
        <f>+IF(U142=$B142,Pesos!$L$3,0)*IF(COUNTIF($C142:$W142,U142)=1,2,1)</f>
        <v>0</v>
      </c>
      <c r="AQ142" s="11">
        <f>+IF(V142=$B142,Pesos!$L$3,0)*IF(COUNTIF($C142:$W142,V142)=1,2,1)</f>
        <v>0</v>
      </c>
      <c r="AR142" s="11">
        <f>+IF(W142=$B142,Pesos!$L$3,0)*IF(COUNTIF($C142:$W142,W142)=1,2,1)</f>
        <v>0</v>
      </c>
    </row>
    <row r="143" ht="12.75" customHeight="1">
      <c r="A143" s="1" t="str">
        <f>'1a FASE'!A144</f>
        <v>Machtday 8</v>
      </c>
      <c r="B143" s="8" t="str">
        <f>'1a FASE'!B144</f>
        <v>Tottenham</v>
      </c>
      <c r="C143" s="10" t="str">
        <f>'1a FASE'!C144</f>
        <v>Empate</v>
      </c>
      <c r="D143" s="10" t="str">
        <f>'1a FASE'!D144</f>
        <v>Eintracht Frankfurt</v>
      </c>
      <c r="E143" s="10" t="str">
        <f>'1a FASE'!E144</f>
        <v>Tottenham</v>
      </c>
      <c r="F143" s="10" t="str">
        <f>'1a FASE'!F144</f>
        <v>Tottenham</v>
      </c>
      <c r="G143" s="10" t="str">
        <f>'1a FASE'!G144</f>
        <v>Empate</v>
      </c>
      <c r="H143" s="10" t="str">
        <f>'1a FASE'!H144</f>
        <v>Tottenham</v>
      </c>
      <c r="I143" s="10" t="str">
        <f>'1a FASE'!I144</f>
        <v>Tottenham</v>
      </c>
      <c r="J143" s="10" t="str">
        <f>'1a FASE'!J144</f>
        <v>Eintracht Frankfurt</v>
      </c>
      <c r="K143" s="10" t="str">
        <f>'1a FASE'!K144</f>
        <v>Tottenham</v>
      </c>
      <c r="L143" s="10" t="str">
        <f>'1a FASE'!L144</f>
        <v>Eintracht Frankfurt</v>
      </c>
      <c r="M143" s="10" t="str">
        <f>'1a FASE'!M144</f>
        <v>Empate</v>
      </c>
      <c r="N143" s="10" t="str">
        <f>'1a FASE'!N144</f>
        <v>Tottenham</v>
      </c>
      <c r="O143" s="10" t="str">
        <f>'1a FASE'!O144</f>
        <v>Empate</v>
      </c>
      <c r="P143" s="10" t="str">
        <f>'1a FASE'!P144</f>
        <v>Tottenham</v>
      </c>
      <c r="Q143" s="10" t="str">
        <f>'1a FASE'!Q144</f>
        <v>Tottenham</v>
      </c>
      <c r="R143" s="10" t="str">
        <f>'1a FASE'!R144</f>
        <v>Tottenham</v>
      </c>
      <c r="S143" s="10" t="str">
        <f>'1a FASE'!S144</f>
        <v>Tottenham</v>
      </c>
      <c r="T143" s="10" t="str">
        <f>'1a FASE'!T144</f>
        <v>Eintracht Frankfurt</v>
      </c>
      <c r="U143" s="10" t="str">
        <f>'1a FASE'!U144</f>
        <v>Tottenham</v>
      </c>
      <c r="V143" s="10" t="str">
        <f>'1a FASE'!V144</f>
        <v>Tottenham</v>
      </c>
      <c r="W143" s="10" t="str">
        <f>'1a FASE'!W144</f>
        <v>Empate</v>
      </c>
      <c r="X143" s="10">
        <f>+IF(C143=$B143,Pesos!$L$3,0)*IF(COUNTIF($C143:$W143,C143)=1,2,1)</f>
        <v>0</v>
      </c>
      <c r="Y143" s="10">
        <f>+IF(D143=$B143,Pesos!$L$3,0)*IF(COUNTIF($C143:$W143,D143)=1,2,1)</f>
        <v>0</v>
      </c>
      <c r="Z143" s="10">
        <f>+IF(E143=$B143,Pesos!$L$3,0)*IF(COUNTIF($C143:$W143,E143)=1,2,1)</f>
        <v>0.85</v>
      </c>
      <c r="AA143" s="10">
        <f>+IF(F143=$B143,Pesos!$L$3,0)*IF(COUNTIF($C143:$W143,F143)=1,2,1)</f>
        <v>0.85</v>
      </c>
      <c r="AB143" s="10">
        <f>+IF(G143=$B143,Pesos!$L$3,0)*IF(COUNTIF($C143:$W143,G143)=1,2,1)</f>
        <v>0</v>
      </c>
      <c r="AC143" s="10">
        <f>+IF(H143=$B143,Pesos!$L$3,0)*IF(COUNTIF($C143:$W143,H143)=1,2,1)</f>
        <v>0.85</v>
      </c>
      <c r="AD143" s="10">
        <f>+IF(I143=$B143,Pesos!$L$3,0)*IF(COUNTIF($C143:$W143,I143)=1,2,1)</f>
        <v>0.85</v>
      </c>
      <c r="AE143" s="10">
        <f>+IF(J143=$B143,Pesos!$L$3,0)*IF(COUNTIF($C143:$W143,J143)=1,2,1)</f>
        <v>0</v>
      </c>
      <c r="AF143" s="10">
        <f>+IF(K143=$B143,Pesos!$L$3,0)*IF(COUNTIF($C143:$W143,K143)=1,2,1)</f>
        <v>0.85</v>
      </c>
      <c r="AG143" s="10">
        <f>+IF(L143=$B143,Pesos!$L$3,0)*IF(COUNTIF($C143:$W143,L143)=1,2,1)</f>
        <v>0</v>
      </c>
      <c r="AH143" s="10">
        <f>+IF(M143=$B143,Pesos!$L$3,0)*IF(COUNTIF($C143:$W143,M143)=1,2,1)</f>
        <v>0</v>
      </c>
      <c r="AI143" s="10">
        <f>+IF(N143=$B143,Pesos!$L$3,0)*IF(COUNTIF($C143:$W143,N143)=1,2,1)</f>
        <v>0.85</v>
      </c>
      <c r="AJ143" s="10">
        <f>+IF(O143=$B143,Pesos!$L$3,0)*IF(COUNTIF($C143:$W143,O143)=1,2,1)</f>
        <v>0</v>
      </c>
      <c r="AK143" s="10">
        <f>+IF(P143=$B143,Pesos!$L$3,0)*IF(COUNTIF($C143:$W143,P143)=1,2,1)</f>
        <v>0.85</v>
      </c>
      <c r="AL143" s="10">
        <f>+IF(Q143=$B143,Pesos!$L$3,0)*IF(COUNTIF($C143:$W143,Q143)=1,2,1)</f>
        <v>0.85</v>
      </c>
      <c r="AM143" s="10">
        <f>+IF(R143=$B143,Pesos!$L$3,0)*IF(COUNTIF($C143:$W143,R143)=1,2,1)</f>
        <v>0.85</v>
      </c>
      <c r="AN143" s="10">
        <f>+IF(S143=$B143,Pesos!$L$3,0)*IF(COUNTIF($C143:$W143,S143)=1,2,1)</f>
        <v>0.85</v>
      </c>
      <c r="AO143" s="10">
        <f>+IF(T143=$B143,Pesos!$L$3,0)*IF(COUNTIF($C143:$W143,T143)=1,2,1)</f>
        <v>0</v>
      </c>
      <c r="AP143" s="10">
        <f>+IF(U143=$B143,Pesos!$L$3,0)*IF(COUNTIF($C143:$W143,U143)=1,2,1)</f>
        <v>0.85</v>
      </c>
      <c r="AQ143" s="10">
        <f>+IF(V143=$B143,Pesos!$L$3,0)*IF(COUNTIF($C143:$W143,V143)=1,2,1)</f>
        <v>0.85</v>
      </c>
      <c r="AR143" s="10">
        <f>+IF(W143=$B143,Pesos!$L$3,0)*IF(COUNTIF($C143:$W143,W143)=1,2,1)</f>
        <v>0</v>
      </c>
    </row>
    <row r="144" ht="12.75" customHeight="1">
      <c r="A144" s="1" t="str">
        <f>'1a FASE'!A145</f>
        <v>Machtday 8</v>
      </c>
      <c r="B144" s="8" t="str">
        <f>'1a FASE'!B145</f>
        <v>Club Brugge</v>
      </c>
      <c r="C144" s="11" t="str">
        <f>'1a FASE'!C145</f>
        <v>Club Brugge</v>
      </c>
      <c r="D144" s="11" t="str">
        <f>'1a FASE'!D145</f>
        <v>Empate</v>
      </c>
      <c r="E144" s="11" t="str">
        <f>'1a FASE'!E145</f>
        <v>Empate</v>
      </c>
      <c r="F144" s="11" t="str">
        <f>'1a FASE'!F145</f>
        <v>Olympique de Marselha</v>
      </c>
      <c r="G144" s="11" t="str">
        <f>'1a FASE'!G145</f>
        <v>Club Brugge</v>
      </c>
      <c r="H144" s="11" t="str">
        <f>'1a FASE'!H145</f>
        <v>Olympique de Marselha</v>
      </c>
      <c r="I144" s="11" t="str">
        <f>'1a FASE'!I145</f>
        <v>Club Brugge</v>
      </c>
      <c r="J144" s="11" t="str">
        <f>'1a FASE'!J145</f>
        <v>Club Brugge</v>
      </c>
      <c r="K144" s="11" t="str">
        <f>'1a FASE'!K145</f>
        <v>Club Brugge</v>
      </c>
      <c r="L144" s="11" t="str">
        <f>'1a FASE'!L145</f>
        <v>Club Brugge</v>
      </c>
      <c r="M144" s="11" t="str">
        <f>'1a FASE'!M145</f>
        <v>Club Brugge</v>
      </c>
      <c r="N144" s="11" t="str">
        <f>'1a FASE'!N145</f>
        <v>Club Brugge</v>
      </c>
      <c r="O144" s="11" t="str">
        <f>'1a FASE'!O145</f>
        <v>Club Brugge</v>
      </c>
      <c r="P144" s="11" t="str">
        <f>'1a FASE'!P145</f>
        <v>Empate</v>
      </c>
      <c r="Q144" s="11" t="str">
        <f>'1a FASE'!Q145</f>
        <v>Club Brugge</v>
      </c>
      <c r="R144" s="11" t="str">
        <f>'1a FASE'!R145</f>
        <v>Club Brugge</v>
      </c>
      <c r="S144" s="11" t="str">
        <f>'1a FASE'!S145</f>
        <v>Club Brugge</v>
      </c>
      <c r="T144" s="11" t="str">
        <f>'1a FASE'!T145</f>
        <v>Club Brugge</v>
      </c>
      <c r="U144" s="11" t="str">
        <f>'1a FASE'!U145</f>
        <v>Olympique de Marselha</v>
      </c>
      <c r="V144" s="11" t="str">
        <f>'1a FASE'!V145</f>
        <v>Club Brugge</v>
      </c>
      <c r="W144" s="11" t="str">
        <f>'1a FASE'!W145</f>
        <v>Empate</v>
      </c>
      <c r="X144" s="11">
        <f>+IF(C144=$B144,Pesos!$L$3,0)*IF(COUNTIF($C144:$W144,C144)=1,2,1)</f>
        <v>0.85</v>
      </c>
      <c r="Y144" s="11">
        <f>+IF(D144=$B144,Pesos!$L$3,0)*IF(COUNTIF($C144:$W144,D144)=1,2,1)</f>
        <v>0</v>
      </c>
      <c r="Z144" s="11">
        <f>+IF(E144=$B144,Pesos!$L$3,0)*IF(COUNTIF($C144:$W144,E144)=1,2,1)</f>
        <v>0</v>
      </c>
      <c r="AA144" s="11">
        <f>+IF(F144=$B144,Pesos!$L$3,0)*IF(COUNTIF($C144:$W144,F144)=1,2,1)</f>
        <v>0</v>
      </c>
      <c r="AB144" s="11">
        <f>+IF(G144=$B144,Pesos!$L$3,0)*IF(COUNTIF($C144:$W144,G144)=1,2,1)</f>
        <v>0.85</v>
      </c>
      <c r="AC144" s="11">
        <f>+IF(H144=$B144,Pesos!$L$3,0)*IF(COUNTIF($C144:$W144,H144)=1,2,1)</f>
        <v>0</v>
      </c>
      <c r="AD144" s="11">
        <f>+IF(I144=$B144,Pesos!$L$3,0)*IF(COUNTIF($C144:$W144,I144)=1,2,1)</f>
        <v>0.85</v>
      </c>
      <c r="AE144" s="11">
        <f>+IF(J144=$B144,Pesos!$L$3,0)*IF(COUNTIF($C144:$W144,J144)=1,2,1)</f>
        <v>0.85</v>
      </c>
      <c r="AF144" s="11">
        <f>+IF(K144=$B144,Pesos!$L$3,0)*IF(COUNTIF($C144:$W144,K144)=1,2,1)</f>
        <v>0.85</v>
      </c>
      <c r="AG144" s="11">
        <f>+IF(L144=$B144,Pesos!$L$3,0)*IF(COUNTIF($C144:$W144,L144)=1,2,1)</f>
        <v>0.85</v>
      </c>
      <c r="AH144" s="11">
        <f>+IF(M144=$B144,Pesos!$L$3,0)*IF(COUNTIF($C144:$W144,M144)=1,2,1)</f>
        <v>0.85</v>
      </c>
      <c r="AI144" s="11">
        <f>+IF(N144=$B144,Pesos!$L$3,0)*IF(COUNTIF($C144:$W144,N144)=1,2,1)</f>
        <v>0.85</v>
      </c>
      <c r="AJ144" s="11">
        <f>+IF(O144=$B144,Pesos!$L$3,0)*IF(COUNTIF($C144:$W144,O144)=1,2,1)</f>
        <v>0.85</v>
      </c>
      <c r="AK144" s="11">
        <f>+IF(P144=$B144,Pesos!$L$3,0)*IF(COUNTIF($C144:$W144,P144)=1,2,1)</f>
        <v>0</v>
      </c>
      <c r="AL144" s="11">
        <f>+IF(Q144=$B144,Pesos!$L$3,0)*IF(COUNTIF($C144:$W144,Q144)=1,2,1)</f>
        <v>0.85</v>
      </c>
      <c r="AM144" s="11">
        <f>+IF(R144=$B144,Pesos!$L$3,0)*IF(COUNTIF($C144:$W144,R144)=1,2,1)</f>
        <v>0.85</v>
      </c>
      <c r="AN144" s="11">
        <f>+IF(S144=$B144,Pesos!$L$3,0)*IF(COUNTIF($C144:$W144,S144)=1,2,1)</f>
        <v>0.85</v>
      </c>
      <c r="AO144" s="11">
        <f>+IF(T144=$B144,Pesos!$L$3,0)*IF(COUNTIF($C144:$W144,T144)=1,2,1)</f>
        <v>0.85</v>
      </c>
      <c r="AP144" s="11">
        <f>+IF(U144=$B144,Pesos!$L$3,0)*IF(COUNTIF($C144:$W144,U144)=1,2,1)</f>
        <v>0</v>
      </c>
      <c r="AQ144" s="11">
        <f>+IF(V144=$B144,Pesos!$L$3,0)*IF(COUNTIF($C144:$W144,V144)=1,2,1)</f>
        <v>0.85</v>
      </c>
      <c r="AR144" s="11">
        <f>+IF(W144=$B144,Pesos!$L$3,0)*IF(COUNTIF($C144:$W144,W144)=1,2,1)</f>
        <v>0</v>
      </c>
    </row>
    <row r="145" ht="12.75" customHeight="1">
      <c r="A145" s="1" t="str">
        <f>'1a FASE'!A146</f>
        <v>Machtday 8</v>
      </c>
      <c r="B145" s="8" t="str">
        <f>'1a FASE'!B146</f>
        <v>Bayern de Munique</v>
      </c>
      <c r="C145" s="10" t="str">
        <f>'1a FASE'!C146</f>
        <v>Bayern de Munique</v>
      </c>
      <c r="D145" s="10" t="str">
        <f>'1a FASE'!D146</f>
        <v>Bayern de Munique</v>
      </c>
      <c r="E145" s="10" t="str">
        <f>'1a FASE'!E146</f>
        <v>Bayern de Munique</v>
      </c>
      <c r="F145" s="10" t="str">
        <f>'1a FASE'!F146</f>
        <v>Bayern de Munique</v>
      </c>
      <c r="G145" s="10" t="str">
        <f>'1a FASE'!G146</f>
        <v>Bayern de Munique</v>
      </c>
      <c r="H145" s="10" t="str">
        <f>'1a FASE'!H146</f>
        <v>Bayern de Munique</v>
      </c>
      <c r="I145" s="10" t="str">
        <f>'1a FASE'!I146</f>
        <v>Bayern de Munique</v>
      </c>
      <c r="J145" s="10" t="str">
        <f>'1a FASE'!J146</f>
        <v>Bayern de Munique</v>
      </c>
      <c r="K145" s="10" t="str">
        <f>'1a FASE'!K146</f>
        <v>PSV Eindhoven</v>
      </c>
      <c r="L145" s="10" t="str">
        <f>'1a FASE'!L146</f>
        <v>Bayern de Munique</v>
      </c>
      <c r="M145" s="10" t="str">
        <f>'1a FASE'!M146</f>
        <v>Bayern de Munique</v>
      </c>
      <c r="N145" s="10" t="str">
        <f>'1a FASE'!N146</f>
        <v>Bayern de Munique</v>
      </c>
      <c r="O145" s="10" t="str">
        <f>'1a FASE'!O146</f>
        <v>Bayern de Munique</v>
      </c>
      <c r="P145" s="10" t="str">
        <f>'1a FASE'!P146</f>
        <v>Bayern de Munique</v>
      </c>
      <c r="Q145" s="10" t="str">
        <f>'1a FASE'!Q146</f>
        <v>Bayern de Munique</v>
      </c>
      <c r="R145" s="10" t="str">
        <f>'1a FASE'!R146</f>
        <v>PSV Eindhoven</v>
      </c>
      <c r="S145" s="10" t="str">
        <f>'1a FASE'!S146</f>
        <v>Bayern de Munique</v>
      </c>
      <c r="T145" s="10" t="str">
        <f>'1a FASE'!T146</f>
        <v>PSV Eindhoven</v>
      </c>
      <c r="U145" s="10" t="str">
        <f>'1a FASE'!U146</f>
        <v>Bayern de Munique</v>
      </c>
      <c r="V145" s="10" t="str">
        <f>'1a FASE'!V146</f>
        <v>Bayern de Munique</v>
      </c>
      <c r="W145" s="10" t="str">
        <f>'1a FASE'!W146</f>
        <v>Bayern de Munique</v>
      </c>
      <c r="X145" s="10">
        <f>+IF(C145=$B145,Pesos!$L$3,0)*IF(COUNTIF($C145:$W145,C145)=1,2,1)</f>
        <v>0.85</v>
      </c>
      <c r="Y145" s="10">
        <f>+IF(D145=$B145,Pesos!$L$3,0)*IF(COUNTIF($C145:$W145,D145)=1,2,1)</f>
        <v>0.85</v>
      </c>
      <c r="Z145" s="10">
        <f>+IF(E145=$B145,Pesos!$L$3,0)*IF(COUNTIF($C145:$W145,E145)=1,2,1)</f>
        <v>0.85</v>
      </c>
      <c r="AA145" s="10">
        <f>+IF(F145=$B145,Pesos!$L$3,0)*IF(COUNTIF($C145:$W145,F145)=1,2,1)</f>
        <v>0.85</v>
      </c>
      <c r="AB145" s="10">
        <f>+IF(G145=$B145,Pesos!$L$3,0)*IF(COUNTIF($C145:$W145,G145)=1,2,1)</f>
        <v>0.85</v>
      </c>
      <c r="AC145" s="10">
        <f>+IF(H145=$B145,Pesos!$L$3,0)*IF(COUNTIF($C145:$W145,H145)=1,2,1)</f>
        <v>0.85</v>
      </c>
      <c r="AD145" s="10">
        <f>+IF(I145=$B145,Pesos!$L$3,0)*IF(COUNTIF($C145:$W145,I145)=1,2,1)</f>
        <v>0.85</v>
      </c>
      <c r="AE145" s="10">
        <f>+IF(J145=$B145,Pesos!$L$3,0)*IF(COUNTIF($C145:$W145,J145)=1,2,1)</f>
        <v>0.85</v>
      </c>
      <c r="AF145" s="10">
        <f>+IF(K145=$B145,Pesos!$L$3,0)*IF(COUNTIF($C145:$W145,K145)=1,2,1)</f>
        <v>0</v>
      </c>
      <c r="AG145" s="10">
        <f>+IF(L145=$B145,Pesos!$L$3,0)*IF(COUNTIF($C145:$W145,L145)=1,2,1)</f>
        <v>0.85</v>
      </c>
      <c r="AH145" s="10">
        <f>+IF(M145=$B145,Pesos!$L$3,0)*IF(COUNTIF($C145:$W145,M145)=1,2,1)</f>
        <v>0.85</v>
      </c>
      <c r="AI145" s="10">
        <f>+IF(N145=$B145,Pesos!$L$3,0)*IF(COUNTIF($C145:$W145,N145)=1,2,1)</f>
        <v>0.85</v>
      </c>
      <c r="AJ145" s="10">
        <f>+IF(O145=$B145,Pesos!$L$3,0)*IF(COUNTIF($C145:$W145,O145)=1,2,1)</f>
        <v>0.85</v>
      </c>
      <c r="AK145" s="10">
        <f>+IF(P145=$B145,Pesos!$L$3,0)*IF(COUNTIF($C145:$W145,P145)=1,2,1)</f>
        <v>0.85</v>
      </c>
      <c r="AL145" s="10">
        <f>+IF(Q145=$B145,Pesos!$L$3,0)*IF(COUNTIF($C145:$W145,Q145)=1,2,1)</f>
        <v>0.85</v>
      </c>
      <c r="AM145" s="10">
        <f>+IF(R145=$B145,Pesos!$L$3,0)*IF(COUNTIF($C145:$W145,R145)=1,2,1)</f>
        <v>0</v>
      </c>
      <c r="AN145" s="10">
        <f>+IF(S145=$B145,Pesos!$L$3,0)*IF(COUNTIF($C145:$W145,S145)=1,2,1)</f>
        <v>0.85</v>
      </c>
      <c r="AO145" s="10">
        <f>+IF(T145=$B145,Pesos!$L$3,0)*IF(COUNTIF($C145:$W145,T145)=1,2,1)</f>
        <v>0</v>
      </c>
      <c r="AP145" s="10">
        <f>+IF(U145=$B145,Pesos!$L$3,0)*IF(COUNTIF($C145:$W145,U145)=1,2,1)</f>
        <v>0.85</v>
      </c>
      <c r="AQ145" s="10">
        <f>+IF(V145=$B145,Pesos!$L$3,0)*IF(COUNTIF($C145:$W145,V145)=1,2,1)</f>
        <v>0.85</v>
      </c>
      <c r="AR145" s="10">
        <f>+IF(W145=$B145,Pesos!$L$3,0)*IF(COUNTIF($C145:$W145,W145)=1,2,1)</f>
        <v>0.85</v>
      </c>
    </row>
    <row r="146" ht="12.75" customHeight="1">
      <c r="A146" s="1" t="str">
        <f>'1a FASE'!A147</f>
        <v>Machtday 8</v>
      </c>
      <c r="B146" s="8" t="str">
        <f>'1a FASE'!B147</f>
        <v>Empate</v>
      </c>
      <c r="C146" s="11" t="str">
        <f>'1a FASE'!C147</f>
        <v>Juventus</v>
      </c>
      <c r="D146" s="11" t="str">
        <f>'1a FASE'!D147</f>
        <v>Juventus</v>
      </c>
      <c r="E146" s="11" t="str">
        <f>'1a FASE'!E147</f>
        <v>Monaco</v>
      </c>
      <c r="F146" s="11" t="str">
        <f>'1a FASE'!F147</f>
        <v>Juventus</v>
      </c>
      <c r="G146" s="11" t="str">
        <f>'1a FASE'!G147</f>
        <v>Monaco</v>
      </c>
      <c r="H146" s="11" t="str">
        <f>'1a FASE'!H147</f>
        <v>Monaco</v>
      </c>
      <c r="I146" s="11" t="str">
        <f>'1a FASE'!I147</f>
        <v>Juventus</v>
      </c>
      <c r="J146" s="11" t="str">
        <f>'1a FASE'!J147</f>
        <v>Juventus</v>
      </c>
      <c r="K146" s="11" t="str">
        <f>'1a FASE'!K147</f>
        <v>Monaco</v>
      </c>
      <c r="L146" s="11" t="str">
        <f>'1a FASE'!L147</f>
        <v>Juventus</v>
      </c>
      <c r="M146" s="11" t="str">
        <f>'1a FASE'!M147</f>
        <v>Empate</v>
      </c>
      <c r="N146" s="11" t="str">
        <f>'1a FASE'!N147</f>
        <v>Empate</v>
      </c>
      <c r="O146" s="11" t="str">
        <f>'1a FASE'!O147</f>
        <v>Empate</v>
      </c>
      <c r="P146" s="11" t="str">
        <f>'1a FASE'!P147</f>
        <v>Empate</v>
      </c>
      <c r="Q146" s="11" t="str">
        <f>'1a FASE'!Q147</f>
        <v>Empate</v>
      </c>
      <c r="R146" s="11" t="str">
        <f>'1a FASE'!R147</f>
        <v>Monaco</v>
      </c>
      <c r="S146" s="11" t="str">
        <f>'1a FASE'!S147</f>
        <v>Juventus</v>
      </c>
      <c r="T146" s="11" t="str">
        <f>'1a FASE'!T147</f>
        <v>Monaco</v>
      </c>
      <c r="U146" s="11" t="str">
        <f>'1a FASE'!U147</f>
        <v>Empate</v>
      </c>
      <c r="V146" s="11" t="str">
        <f>'1a FASE'!V147</f>
        <v>Juventus</v>
      </c>
      <c r="W146" s="11" t="str">
        <f>'1a FASE'!W147</f>
        <v>Juventus</v>
      </c>
      <c r="X146" s="11">
        <f>+IF(C146=$B146,Pesos!$L$3,0)*IF(COUNTIF($C146:$W146,C146)=1,2,1)</f>
        <v>0</v>
      </c>
      <c r="Y146" s="11">
        <f>+IF(D146=$B146,Pesos!$L$3,0)*IF(COUNTIF($C146:$W146,D146)=1,2,1)</f>
        <v>0</v>
      </c>
      <c r="Z146" s="11">
        <f>+IF(E146=$B146,Pesos!$L$3,0)*IF(COUNTIF($C146:$W146,E146)=1,2,1)</f>
        <v>0</v>
      </c>
      <c r="AA146" s="11">
        <f>+IF(F146=$B146,Pesos!$L$3,0)*IF(COUNTIF($C146:$W146,F146)=1,2,1)</f>
        <v>0</v>
      </c>
      <c r="AB146" s="11">
        <f>+IF(G146=$B146,Pesos!$L$3,0)*IF(COUNTIF($C146:$W146,G146)=1,2,1)</f>
        <v>0</v>
      </c>
      <c r="AC146" s="11">
        <f>+IF(H146=$B146,Pesos!$L$3,0)*IF(COUNTIF($C146:$W146,H146)=1,2,1)</f>
        <v>0</v>
      </c>
      <c r="AD146" s="11">
        <f>+IF(I146=$B146,Pesos!$L$3,0)*IF(COUNTIF($C146:$W146,I146)=1,2,1)</f>
        <v>0</v>
      </c>
      <c r="AE146" s="11">
        <f>+IF(J146=$B146,Pesos!$L$3,0)*IF(COUNTIF($C146:$W146,J146)=1,2,1)</f>
        <v>0</v>
      </c>
      <c r="AF146" s="11">
        <f>+IF(K146=$B146,Pesos!$L$3,0)*IF(COUNTIF($C146:$W146,K146)=1,2,1)</f>
        <v>0</v>
      </c>
      <c r="AG146" s="11">
        <f>+IF(L146=$B146,Pesos!$L$3,0)*IF(COUNTIF($C146:$W146,L146)=1,2,1)</f>
        <v>0</v>
      </c>
      <c r="AH146" s="11">
        <f>+IF(M146=$B146,Pesos!$L$3,0)*IF(COUNTIF($C146:$W146,M146)=1,2,1)</f>
        <v>0.85</v>
      </c>
      <c r="AI146" s="11">
        <f>+IF(N146=$B146,Pesos!$L$3,0)*IF(COUNTIF($C146:$W146,N146)=1,2,1)</f>
        <v>0.85</v>
      </c>
      <c r="AJ146" s="11">
        <f>+IF(O146=$B146,Pesos!$L$3,0)*IF(COUNTIF($C146:$W146,O146)=1,2,1)</f>
        <v>0.85</v>
      </c>
      <c r="AK146" s="11">
        <f>+IF(P146=$B146,Pesos!$L$3,0)*IF(COUNTIF($C146:$W146,P146)=1,2,1)</f>
        <v>0.85</v>
      </c>
      <c r="AL146" s="11">
        <f>+IF(Q146=$B146,Pesos!$L$3,0)*IF(COUNTIF($C146:$W146,Q146)=1,2,1)</f>
        <v>0.85</v>
      </c>
      <c r="AM146" s="11">
        <f>+IF(R146=$B146,Pesos!$L$3,0)*IF(COUNTIF($C146:$W146,R146)=1,2,1)</f>
        <v>0</v>
      </c>
      <c r="AN146" s="11">
        <f>+IF(S146=$B146,Pesos!$L$3,0)*IF(COUNTIF($C146:$W146,S146)=1,2,1)</f>
        <v>0</v>
      </c>
      <c r="AO146" s="11">
        <f>+IF(T146=$B146,Pesos!$L$3,0)*IF(COUNTIF($C146:$W146,T146)=1,2,1)</f>
        <v>0</v>
      </c>
      <c r="AP146" s="11">
        <f>+IF(U146=$B146,Pesos!$L$3,0)*IF(COUNTIF($C146:$W146,U146)=1,2,1)</f>
        <v>0.85</v>
      </c>
      <c r="AQ146" s="11">
        <f>+IF(V146=$B146,Pesos!$L$3,0)*IF(COUNTIF($C146:$W146,V146)=1,2,1)</f>
        <v>0</v>
      </c>
      <c r="AR146" s="11">
        <f>+IF(W146=$B146,Pesos!$L$3,0)*IF(COUNTIF($C146:$W146,W146)=1,2,1)</f>
        <v>0</v>
      </c>
    </row>
    <row r="147" ht="12.75" customHeight="1">
      <c r="A147" s="1" t="str">
        <f>'1a FASE'!A148</f>
        <v>Machtday 8</v>
      </c>
      <c r="B147" s="8" t="str">
        <f>'1a FASE'!B148</f>
        <v>Union Saint-Gilloise</v>
      </c>
      <c r="C147" s="10" t="str">
        <f>'1a FASE'!C148</f>
        <v>Empate</v>
      </c>
      <c r="D147" s="10" t="str">
        <f>'1a FASE'!D148</f>
        <v>Atalanta</v>
      </c>
      <c r="E147" s="10" t="str">
        <f>'1a FASE'!E148</f>
        <v>Union Saint-Gilloise</v>
      </c>
      <c r="F147" s="10" t="str">
        <f>'1a FASE'!F148</f>
        <v>Atalanta</v>
      </c>
      <c r="G147" s="10" t="str">
        <f>'1a FASE'!G148</f>
        <v>Atalanta</v>
      </c>
      <c r="H147" s="10" t="str">
        <f>'1a FASE'!H148</f>
        <v>Atalanta</v>
      </c>
      <c r="I147" s="10" t="str">
        <f>'1a FASE'!I148</f>
        <v>Atalanta</v>
      </c>
      <c r="J147" s="10" t="str">
        <f>'1a FASE'!J148</f>
        <v>Atalanta</v>
      </c>
      <c r="K147" s="10" t="str">
        <f>'1a FASE'!K148</f>
        <v>Atalanta</v>
      </c>
      <c r="L147" s="10" t="str">
        <f>'1a FASE'!L148</f>
        <v>Atalanta</v>
      </c>
      <c r="M147" s="10" t="str">
        <f>'1a FASE'!M148</f>
        <v>Atalanta</v>
      </c>
      <c r="N147" s="10" t="str">
        <f>'1a FASE'!N148</f>
        <v>Atalanta</v>
      </c>
      <c r="O147" s="10" t="str">
        <f>'1a FASE'!O148</f>
        <v>Empate</v>
      </c>
      <c r="P147" s="10" t="str">
        <f>'1a FASE'!P148</f>
        <v>Atalanta</v>
      </c>
      <c r="Q147" s="10" t="str">
        <f>'1a FASE'!Q148</f>
        <v>Atalanta</v>
      </c>
      <c r="R147" s="10" t="str">
        <f>'1a FASE'!R148</f>
        <v>Atalanta</v>
      </c>
      <c r="S147" s="10" t="str">
        <f>'1a FASE'!S148</f>
        <v>Atalanta</v>
      </c>
      <c r="T147" s="10" t="str">
        <f>'1a FASE'!T148</f>
        <v>Union Saint-Gilloise</v>
      </c>
      <c r="U147" s="10" t="str">
        <f>'1a FASE'!U148</f>
        <v>Atalanta</v>
      </c>
      <c r="V147" s="10" t="str">
        <f>'1a FASE'!V148</f>
        <v>Empate</v>
      </c>
      <c r="W147" s="10" t="str">
        <f>'1a FASE'!W148</f>
        <v>Atalanta</v>
      </c>
      <c r="X147" s="10">
        <f>+IF(C147=$B147,Pesos!$L$3,0)*IF(COUNTIF($C147:$W147,C147)=1,2,1)</f>
        <v>0</v>
      </c>
      <c r="Y147" s="10">
        <f>+IF(D147=$B147,Pesos!$L$3,0)*IF(COUNTIF($C147:$W147,D147)=1,2,1)</f>
        <v>0</v>
      </c>
      <c r="Z147" s="10">
        <f>+IF(E147=$B147,Pesos!$L$3,0)*IF(COUNTIF($C147:$W147,E147)=1,2,1)</f>
        <v>0.85</v>
      </c>
      <c r="AA147" s="10">
        <f>+IF(F147=$B147,Pesos!$L$3,0)*IF(COUNTIF($C147:$W147,F147)=1,2,1)</f>
        <v>0</v>
      </c>
      <c r="AB147" s="10">
        <f>+IF(G147=$B147,Pesos!$L$3,0)*IF(COUNTIF($C147:$W147,G147)=1,2,1)</f>
        <v>0</v>
      </c>
      <c r="AC147" s="10">
        <f>+IF(H147=$B147,Pesos!$L$3,0)*IF(COUNTIF($C147:$W147,H147)=1,2,1)</f>
        <v>0</v>
      </c>
      <c r="AD147" s="10">
        <f>+IF(I147=$B147,Pesos!$L$3,0)*IF(COUNTIF($C147:$W147,I147)=1,2,1)</f>
        <v>0</v>
      </c>
      <c r="AE147" s="10">
        <f>+IF(J147=$B147,Pesos!$L$3,0)*IF(COUNTIF($C147:$W147,J147)=1,2,1)</f>
        <v>0</v>
      </c>
      <c r="AF147" s="10">
        <f>+IF(K147=$B147,Pesos!$L$3,0)*IF(COUNTIF($C147:$W147,K147)=1,2,1)</f>
        <v>0</v>
      </c>
      <c r="AG147" s="10">
        <f>+IF(L147=$B147,Pesos!$L$3,0)*IF(COUNTIF($C147:$W147,L147)=1,2,1)</f>
        <v>0</v>
      </c>
      <c r="AH147" s="10">
        <f>+IF(M147=$B147,Pesos!$L$3,0)*IF(COUNTIF($C147:$W147,M147)=1,2,1)</f>
        <v>0</v>
      </c>
      <c r="AI147" s="10">
        <f>+IF(N147=$B147,Pesos!$L$3,0)*IF(COUNTIF($C147:$W147,N147)=1,2,1)</f>
        <v>0</v>
      </c>
      <c r="AJ147" s="10">
        <f>+IF(O147=$B147,Pesos!$L$3,0)*IF(COUNTIF($C147:$W147,O147)=1,2,1)</f>
        <v>0</v>
      </c>
      <c r="AK147" s="10">
        <f>+IF(P147=$B147,Pesos!$L$3,0)*IF(COUNTIF($C147:$W147,P147)=1,2,1)</f>
        <v>0</v>
      </c>
      <c r="AL147" s="10">
        <f>+IF(Q147=$B147,Pesos!$L$3,0)*IF(COUNTIF($C147:$W147,Q147)=1,2,1)</f>
        <v>0</v>
      </c>
      <c r="AM147" s="10">
        <f>+IF(R147=$B147,Pesos!$L$3,0)*IF(COUNTIF($C147:$W147,R147)=1,2,1)</f>
        <v>0</v>
      </c>
      <c r="AN147" s="10">
        <f>+IF(S147=$B147,Pesos!$L$3,0)*IF(COUNTIF($C147:$W147,S147)=1,2,1)</f>
        <v>0</v>
      </c>
      <c r="AO147" s="10">
        <f>+IF(T147=$B147,Pesos!$L$3,0)*IF(COUNTIF($C147:$W147,T147)=1,2,1)</f>
        <v>0.85</v>
      </c>
      <c r="AP147" s="10">
        <f>+IF(U147=$B147,Pesos!$L$3,0)*IF(COUNTIF($C147:$W147,U147)=1,2,1)</f>
        <v>0</v>
      </c>
      <c r="AQ147" s="10">
        <f>+IF(V147=$B147,Pesos!$L$3,0)*IF(COUNTIF($C147:$W147,V147)=1,2,1)</f>
        <v>0</v>
      </c>
      <c r="AR147" s="10">
        <f>+IF(W147=$B147,Pesos!$L$3,0)*IF(COUNTIF($C147:$W147,W147)=1,2,1)</f>
        <v>0</v>
      </c>
    </row>
    <row r="148" ht="12.75" customHeight="1">
      <c r="A148" s="1" t="str">
        <f>'1a FASE'!A149</f>
        <v>Machtday 8</v>
      </c>
      <c r="B148" s="8" t="str">
        <f>'1a FASE'!B149</f>
        <v>Sporting</v>
      </c>
      <c r="C148" s="11" t="str">
        <f>'1a FASE'!C149</f>
        <v>Athletic Bilbao</v>
      </c>
      <c r="D148" s="11" t="str">
        <f>'1a FASE'!D149</f>
        <v>Athletic Bilbao</v>
      </c>
      <c r="E148" s="11" t="str">
        <f>'1a FASE'!E149</f>
        <v>Athletic Bilbao</v>
      </c>
      <c r="F148" s="11" t="str">
        <f>'1a FASE'!F149</f>
        <v>Athletic Bilbao</v>
      </c>
      <c r="G148" s="11" t="str">
        <f>'1a FASE'!G149</f>
        <v>Athletic Bilbao</v>
      </c>
      <c r="H148" s="11" t="str">
        <f>'1a FASE'!H149</f>
        <v>Sporting</v>
      </c>
      <c r="I148" s="11" t="str">
        <f>'1a FASE'!I149</f>
        <v>Athletic Bilbao</v>
      </c>
      <c r="J148" s="11" t="str">
        <f>'1a FASE'!J149</f>
        <v>Athletic Bilbao</v>
      </c>
      <c r="K148" s="11" t="str">
        <f>'1a FASE'!K149</f>
        <v>Athletic Bilbao</v>
      </c>
      <c r="L148" s="11" t="str">
        <f>'1a FASE'!L149</f>
        <v>Athletic Bilbao</v>
      </c>
      <c r="M148" s="11" t="str">
        <f>'1a FASE'!M149</f>
        <v>Sporting</v>
      </c>
      <c r="N148" s="11" t="str">
        <f>'1a FASE'!N149</f>
        <v>Athletic Bilbao</v>
      </c>
      <c r="O148" s="11" t="str">
        <f>'1a FASE'!O149</f>
        <v>Empate</v>
      </c>
      <c r="P148" s="11" t="str">
        <f>'1a FASE'!P149</f>
        <v>Athletic Bilbao</v>
      </c>
      <c r="Q148" s="11" t="str">
        <f>'1a FASE'!Q149</f>
        <v>Athletic Bilbao</v>
      </c>
      <c r="R148" s="11" t="str">
        <f>'1a FASE'!R149</f>
        <v>Athletic Bilbao</v>
      </c>
      <c r="S148" s="11" t="str">
        <f>'1a FASE'!S149</f>
        <v>Athletic Bilbao</v>
      </c>
      <c r="T148" s="11" t="str">
        <f>'1a FASE'!T149</f>
        <v>Athletic Bilbao</v>
      </c>
      <c r="U148" s="11" t="str">
        <f>'1a FASE'!U149</f>
        <v>Athletic Bilbao</v>
      </c>
      <c r="V148" s="11" t="str">
        <f>'1a FASE'!V149</f>
        <v>Sporting</v>
      </c>
      <c r="W148" s="11" t="str">
        <f>'1a FASE'!W149</f>
        <v>Athletic Bilbao</v>
      </c>
      <c r="X148" s="11">
        <f>+IF(C148=$B148,Pesos!$L$3,0)*IF(COUNTIF($C148:$W148,C148)=1,2,1)</f>
        <v>0</v>
      </c>
      <c r="Y148" s="11">
        <f>+IF(D148=$B148,Pesos!$L$3,0)*IF(COUNTIF($C148:$W148,D148)=1,2,1)</f>
        <v>0</v>
      </c>
      <c r="Z148" s="11">
        <f>+IF(E148=$B148,Pesos!$L$3,0)*IF(COUNTIF($C148:$W148,E148)=1,2,1)</f>
        <v>0</v>
      </c>
      <c r="AA148" s="11">
        <f>+IF(F148=$B148,Pesos!$L$3,0)*IF(COUNTIF($C148:$W148,F148)=1,2,1)</f>
        <v>0</v>
      </c>
      <c r="AB148" s="11">
        <f>+IF(G148=$B148,Pesos!$L$3,0)*IF(COUNTIF($C148:$W148,G148)=1,2,1)</f>
        <v>0</v>
      </c>
      <c r="AC148" s="11">
        <f>+IF(H148=$B148,Pesos!$L$3,0)*IF(COUNTIF($C148:$W148,H148)=1,2,1)</f>
        <v>0.85</v>
      </c>
      <c r="AD148" s="11">
        <f>+IF(I148=$B148,Pesos!$L$3,0)*IF(COUNTIF($C148:$W148,I148)=1,2,1)</f>
        <v>0</v>
      </c>
      <c r="AE148" s="11">
        <f>+IF(J148=$B148,Pesos!$L$3,0)*IF(COUNTIF($C148:$W148,J148)=1,2,1)</f>
        <v>0</v>
      </c>
      <c r="AF148" s="11">
        <f>+IF(K148=$B148,Pesos!$L$3,0)*IF(COUNTIF($C148:$W148,K148)=1,2,1)</f>
        <v>0</v>
      </c>
      <c r="AG148" s="11">
        <f>+IF(L148=$B148,Pesos!$L$3,0)*IF(COUNTIF($C148:$W148,L148)=1,2,1)</f>
        <v>0</v>
      </c>
      <c r="AH148" s="11">
        <f>+IF(M148=$B148,Pesos!$L$3,0)*IF(COUNTIF($C148:$W148,M148)=1,2,1)</f>
        <v>0.85</v>
      </c>
      <c r="AI148" s="11">
        <f>+IF(N148=$B148,Pesos!$L$3,0)*IF(COUNTIF($C148:$W148,N148)=1,2,1)</f>
        <v>0</v>
      </c>
      <c r="AJ148" s="11">
        <f>+IF(O148=$B148,Pesos!$L$3,0)*IF(COUNTIF($C148:$W148,O148)=1,2,1)</f>
        <v>0</v>
      </c>
      <c r="AK148" s="11">
        <f>+IF(P148=$B148,Pesos!$L$3,0)*IF(COUNTIF($C148:$W148,P148)=1,2,1)</f>
        <v>0</v>
      </c>
      <c r="AL148" s="11">
        <f>+IF(Q148=$B148,Pesos!$L$3,0)*IF(COUNTIF($C148:$W148,Q148)=1,2,1)</f>
        <v>0</v>
      </c>
      <c r="AM148" s="11">
        <f>+IF(R148=$B148,Pesos!$L$3,0)*IF(COUNTIF($C148:$W148,R148)=1,2,1)</f>
        <v>0</v>
      </c>
      <c r="AN148" s="11">
        <f>+IF(S148=$B148,Pesos!$L$3,0)*IF(COUNTIF($C148:$W148,S148)=1,2,1)</f>
        <v>0</v>
      </c>
      <c r="AO148" s="11">
        <f>+IF(T148=$B148,Pesos!$L$3,0)*IF(COUNTIF($C148:$W148,T148)=1,2,1)</f>
        <v>0</v>
      </c>
      <c r="AP148" s="11">
        <f>+IF(U148=$B148,Pesos!$L$3,0)*IF(COUNTIF($C148:$W148,U148)=1,2,1)</f>
        <v>0</v>
      </c>
      <c r="AQ148" s="11">
        <f>+IF(V148=$B148,Pesos!$L$3,0)*IF(COUNTIF($C148:$W148,V148)=1,2,1)</f>
        <v>0.85</v>
      </c>
      <c r="AR148" s="11">
        <f>+IF(W148=$B148,Pesos!$L$3,0)*IF(COUNTIF($C148:$W148,W148)=1,2,1)</f>
        <v>0</v>
      </c>
    </row>
    <row r="149" ht="12.75" customHeight="1">
      <c r="A149" s="1" t="str">
        <f>'1a FASE'!A150</f>
        <v>Machtday 8</v>
      </c>
      <c r="B149" s="8" t="str">
        <f>'1a FASE'!B150</f>
        <v>Olympiacos</v>
      </c>
      <c r="C149" s="10" t="str">
        <f>'1a FASE'!C150</f>
        <v>Ajax</v>
      </c>
      <c r="D149" s="10" t="str">
        <f>'1a FASE'!D150</f>
        <v>Ajax</v>
      </c>
      <c r="E149" s="10" t="str">
        <f>'1a FASE'!E150</f>
        <v>Ajax</v>
      </c>
      <c r="F149" s="10" t="str">
        <f>'1a FASE'!F150</f>
        <v>Ajax</v>
      </c>
      <c r="G149" s="10" t="str">
        <f>'1a FASE'!G150</f>
        <v>Ajax</v>
      </c>
      <c r="H149" s="10" t="str">
        <f>'1a FASE'!H150</f>
        <v>Ajax</v>
      </c>
      <c r="I149" s="10" t="str">
        <f>'1a FASE'!I150</f>
        <v>Ajax</v>
      </c>
      <c r="J149" s="10" t="str">
        <f>'1a FASE'!J150</f>
        <v>Ajax</v>
      </c>
      <c r="K149" s="10" t="str">
        <f>'1a FASE'!K150</f>
        <v>Ajax</v>
      </c>
      <c r="L149" s="10" t="str">
        <f>'1a FASE'!L150</f>
        <v>Ajax</v>
      </c>
      <c r="M149" s="10" t="str">
        <f>'1a FASE'!M150</f>
        <v>Ajax</v>
      </c>
      <c r="N149" s="10" t="str">
        <f>'1a FASE'!N150</f>
        <v>Ajax</v>
      </c>
      <c r="O149" s="10" t="str">
        <f>'1a FASE'!O150</f>
        <v>Empate</v>
      </c>
      <c r="P149" s="10" t="str">
        <f>'1a FASE'!P150</f>
        <v>Ajax</v>
      </c>
      <c r="Q149" s="10" t="str">
        <f>'1a FASE'!Q150</f>
        <v>Ajax</v>
      </c>
      <c r="R149" s="10" t="str">
        <f>'1a FASE'!R150</f>
        <v>Ajax</v>
      </c>
      <c r="S149" s="10" t="str">
        <f>'1a FASE'!S150</f>
        <v>Ajax</v>
      </c>
      <c r="T149" s="10" t="str">
        <f>'1a FASE'!T150</f>
        <v>Ajax</v>
      </c>
      <c r="U149" s="10" t="str">
        <f>'1a FASE'!U150</f>
        <v>Ajax</v>
      </c>
      <c r="V149" s="10" t="str">
        <f>'1a FASE'!V150</f>
        <v>Ajax</v>
      </c>
      <c r="W149" s="10" t="str">
        <f>'1a FASE'!W150</f>
        <v>Ajax</v>
      </c>
      <c r="X149" s="10">
        <f>+IF(C149=$B149,Pesos!$L$3,0)*IF(COUNTIF($C149:$W149,C149)=1,2,1)</f>
        <v>0</v>
      </c>
      <c r="Y149" s="10">
        <f>+IF(D149=$B149,Pesos!$L$3,0)*IF(COUNTIF($C149:$W149,D149)=1,2,1)</f>
        <v>0</v>
      </c>
      <c r="Z149" s="10">
        <f>+IF(E149=$B149,Pesos!$L$3,0)*IF(COUNTIF($C149:$W149,E149)=1,2,1)</f>
        <v>0</v>
      </c>
      <c r="AA149" s="10">
        <f>+IF(F149=$B149,Pesos!$L$3,0)*IF(COUNTIF($C149:$W149,F149)=1,2,1)</f>
        <v>0</v>
      </c>
      <c r="AB149" s="10">
        <f>+IF(G149=$B149,Pesos!$L$3,0)*IF(COUNTIF($C149:$W149,G149)=1,2,1)</f>
        <v>0</v>
      </c>
      <c r="AC149" s="10">
        <f>+IF(H149=$B149,Pesos!$L$3,0)*IF(COUNTIF($C149:$W149,H149)=1,2,1)</f>
        <v>0</v>
      </c>
      <c r="AD149" s="10">
        <f>+IF(I149=$B149,Pesos!$L$3,0)*IF(COUNTIF($C149:$W149,I149)=1,2,1)</f>
        <v>0</v>
      </c>
      <c r="AE149" s="10">
        <f>+IF(J149=$B149,Pesos!$L$3,0)*IF(COUNTIF($C149:$W149,J149)=1,2,1)</f>
        <v>0</v>
      </c>
      <c r="AF149" s="10">
        <f>+IF(K149=$B149,Pesos!$L$3,0)*IF(COUNTIF($C149:$W149,K149)=1,2,1)</f>
        <v>0</v>
      </c>
      <c r="AG149" s="10">
        <f>+IF(L149=$B149,Pesos!$L$3,0)*IF(COUNTIF($C149:$W149,L149)=1,2,1)</f>
        <v>0</v>
      </c>
      <c r="AH149" s="10">
        <f>+IF(M149=$B149,Pesos!$L$3,0)*IF(COUNTIF($C149:$W149,M149)=1,2,1)</f>
        <v>0</v>
      </c>
      <c r="AI149" s="10">
        <f>+IF(N149=$B149,Pesos!$L$3,0)*IF(COUNTIF($C149:$W149,N149)=1,2,1)</f>
        <v>0</v>
      </c>
      <c r="AJ149" s="10">
        <f>+IF(O149=$B149,Pesos!$L$3,0)*IF(COUNTIF($C149:$W149,O149)=1,2,1)</f>
        <v>0</v>
      </c>
      <c r="AK149" s="10">
        <f>+IF(P149=$B149,Pesos!$L$3,0)*IF(COUNTIF($C149:$W149,P149)=1,2,1)</f>
        <v>0</v>
      </c>
      <c r="AL149" s="10">
        <f>+IF(Q149=$B149,Pesos!$L$3,0)*IF(COUNTIF($C149:$W149,Q149)=1,2,1)</f>
        <v>0</v>
      </c>
      <c r="AM149" s="10">
        <f>+IF(R149=$B149,Pesos!$L$3,0)*IF(COUNTIF($C149:$W149,R149)=1,2,1)</f>
        <v>0</v>
      </c>
      <c r="AN149" s="10">
        <f>+IF(S149=$B149,Pesos!$L$3,0)*IF(COUNTIF($C149:$W149,S149)=1,2,1)</f>
        <v>0</v>
      </c>
      <c r="AO149" s="10">
        <f>+IF(T149=$B149,Pesos!$L$3,0)*IF(COUNTIF($C149:$W149,T149)=1,2,1)</f>
        <v>0</v>
      </c>
      <c r="AP149" s="10">
        <f>+IF(U149=$B149,Pesos!$L$3,0)*IF(COUNTIF($C149:$W149,U149)=1,2,1)</f>
        <v>0</v>
      </c>
      <c r="AQ149" s="10">
        <f>+IF(V149=$B149,Pesos!$L$3,0)*IF(COUNTIF($C149:$W149,V149)=1,2,1)</f>
        <v>0</v>
      </c>
      <c r="AR149" s="10">
        <f>+IF(W149=$B149,Pesos!$L$3,0)*IF(COUNTIF($C149:$W149,W149)=1,2,1)</f>
        <v>0</v>
      </c>
    </row>
    <row r="150" ht="12.75" customHeight="1">
      <c r="A150" s="1" t="str">
        <f>'1a FASE'!A151</f>
        <v>Machtday 8</v>
      </c>
      <c r="B150" s="8" t="str">
        <f>'1a FASE'!B151</f>
        <v>Chelsea</v>
      </c>
      <c r="C150" s="11" t="str">
        <f>'1a FASE'!C151</f>
        <v>Napoli</v>
      </c>
      <c r="D150" s="11" t="str">
        <f>'1a FASE'!D151</f>
        <v>Chelsea</v>
      </c>
      <c r="E150" s="11" t="str">
        <f>'1a FASE'!E151</f>
        <v>Chelsea</v>
      </c>
      <c r="F150" s="11" t="str">
        <f>'1a FASE'!F151</f>
        <v>Chelsea</v>
      </c>
      <c r="G150" s="11" t="str">
        <f>'1a FASE'!G151</f>
        <v>Empate</v>
      </c>
      <c r="H150" s="11" t="str">
        <f>'1a FASE'!H151</f>
        <v>Chelsea</v>
      </c>
      <c r="I150" s="11" t="str">
        <f>'1a FASE'!I151</f>
        <v>Chelsea</v>
      </c>
      <c r="J150" s="11" t="str">
        <f>'1a FASE'!J151</f>
        <v>Napoli</v>
      </c>
      <c r="K150" s="11" t="str">
        <f>'1a FASE'!K151</f>
        <v>Chelsea</v>
      </c>
      <c r="L150" s="11" t="str">
        <f>'1a FASE'!L151</f>
        <v>Chelsea</v>
      </c>
      <c r="M150" s="11" t="str">
        <f>'1a FASE'!M151</f>
        <v>Chelsea</v>
      </c>
      <c r="N150" s="11" t="str">
        <f>'1a FASE'!N151</f>
        <v>Chelsea</v>
      </c>
      <c r="O150" s="11" t="str">
        <f>'1a FASE'!O151</f>
        <v>Empate</v>
      </c>
      <c r="P150" s="11" t="str">
        <f>'1a FASE'!P151</f>
        <v>Chelsea</v>
      </c>
      <c r="Q150" s="11" t="str">
        <f>'1a FASE'!Q151</f>
        <v>Napoli</v>
      </c>
      <c r="R150" s="11" t="str">
        <f>'1a FASE'!R151</f>
        <v>Empate</v>
      </c>
      <c r="S150" s="11" t="str">
        <f>'1a FASE'!S151</f>
        <v>Napoli</v>
      </c>
      <c r="T150" s="11" t="str">
        <f>'1a FASE'!T151</f>
        <v>Napoli</v>
      </c>
      <c r="U150" s="11" t="str">
        <f>'1a FASE'!U151</f>
        <v>Chelsea</v>
      </c>
      <c r="V150" s="11" t="str">
        <f>'1a FASE'!V151</f>
        <v>Chelsea</v>
      </c>
      <c r="W150" s="11" t="str">
        <f>'1a FASE'!W151</f>
        <v>Empate</v>
      </c>
      <c r="X150" s="11">
        <f>+IF(C150=$B150,Pesos!$L$3,0)*IF(COUNTIF($C150:$W150,C150)=1,2,1)</f>
        <v>0</v>
      </c>
      <c r="Y150" s="11">
        <f>+IF(D150=$B150,Pesos!$L$3,0)*IF(COUNTIF($C150:$W150,D150)=1,2,1)</f>
        <v>0.85</v>
      </c>
      <c r="Z150" s="11">
        <f>+IF(E150=$B150,Pesos!$L$3,0)*IF(COUNTIF($C150:$W150,E150)=1,2,1)</f>
        <v>0.85</v>
      </c>
      <c r="AA150" s="11">
        <f>+IF(F150=$B150,Pesos!$L$3,0)*IF(COUNTIF($C150:$W150,F150)=1,2,1)</f>
        <v>0.85</v>
      </c>
      <c r="AB150" s="11">
        <f>+IF(G150=$B150,Pesos!$L$3,0)*IF(COUNTIF($C150:$W150,G150)=1,2,1)</f>
        <v>0</v>
      </c>
      <c r="AC150" s="11">
        <f>+IF(H150=$B150,Pesos!$L$3,0)*IF(COUNTIF($C150:$W150,H150)=1,2,1)</f>
        <v>0.85</v>
      </c>
      <c r="AD150" s="11">
        <f>+IF(I150=$B150,Pesos!$L$3,0)*IF(COUNTIF($C150:$W150,I150)=1,2,1)</f>
        <v>0.85</v>
      </c>
      <c r="AE150" s="11">
        <f>+IF(J150=$B150,Pesos!$L$3,0)*IF(COUNTIF($C150:$W150,J150)=1,2,1)</f>
        <v>0</v>
      </c>
      <c r="AF150" s="11">
        <f>+IF(K150=$B150,Pesos!$L$3,0)*IF(COUNTIF($C150:$W150,K150)=1,2,1)</f>
        <v>0.85</v>
      </c>
      <c r="AG150" s="11">
        <f>+IF(L150=$B150,Pesos!$L$3,0)*IF(COUNTIF($C150:$W150,L150)=1,2,1)</f>
        <v>0.85</v>
      </c>
      <c r="AH150" s="11">
        <f>+IF(M150=$B150,Pesos!$L$3,0)*IF(COUNTIF($C150:$W150,M150)=1,2,1)</f>
        <v>0.85</v>
      </c>
      <c r="AI150" s="11">
        <f>+IF(N150=$B150,Pesos!$L$3,0)*IF(COUNTIF($C150:$W150,N150)=1,2,1)</f>
        <v>0.85</v>
      </c>
      <c r="AJ150" s="11">
        <f>+IF(O150=$B150,Pesos!$L$3,0)*IF(COUNTIF($C150:$W150,O150)=1,2,1)</f>
        <v>0</v>
      </c>
      <c r="AK150" s="11">
        <f>+IF(P150=$B150,Pesos!$L$3,0)*IF(COUNTIF($C150:$W150,P150)=1,2,1)</f>
        <v>0.85</v>
      </c>
      <c r="AL150" s="11">
        <f>+IF(Q150=$B150,Pesos!$L$3,0)*IF(COUNTIF($C150:$W150,Q150)=1,2,1)</f>
        <v>0</v>
      </c>
      <c r="AM150" s="11">
        <f>+IF(R150=$B150,Pesos!$L$3,0)*IF(COUNTIF($C150:$W150,R150)=1,2,1)</f>
        <v>0</v>
      </c>
      <c r="AN150" s="11">
        <f>+IF(S150=$B150,Pesos!$L$3,0)*IF(COUNTIF($C150:$W150,S150)=1,2,1)</f>
        <v>0</v>
      </c>
      <c r="AO150" s="11">
        <f>+IF(T150=$B150,Pesos!$L$3,0)*IF(COUNTIF($C150:$W150,T150)=1,2,1)</f>
        <v>0</v>
      </c>
      <c r="AP150" s="11">
        <f>+IF(U150=$B150,Pesos!$L$3,0)*IF(COUNTIF($C150:$W150,U150)=1,2,1)</f>
        <v>0.85</v>
      </c>
      <c r="AQ150" s="11">
        <f>+IF(V150=$B150,Pesos!$L$3,0)*IF(COUNTIF($C150:$W150,V150)=1,2,1)</f>
        <v>0.85</v>
      </c>
      <c r="AR150" s="11">
        <f>+IF(W150=$B150,Pesos!$L$3,0)*IF(COUNTIF($C150:$W150,W150)=1,2,1)</f>
        <v>0</v>
      </c>
    </row>
    <row r="151" ht="12.75" customHeight="1">
      <c r="A151" s="1" t="str">
        <f>'1a FASE'!A152</f>
        <v>Classificado 1</v>
      </c>
      <c r="B151" s="8" t="str">
        <f>'1a FASE'!B152</f>
        <v>Arsenal</v>
      </c>
      <c r="C151" s="12" t="str">
        <f>'1a FASE'!C152</f>
        <v>Real Madrid</v>
      </c>
      <c r="D151" s="12" t="str">
        <f>'1a FASE'!D152</f>
        <v>Barcelona</v>
      </c>
      <c r="E151" s="12" t="str">
        <f>'1a FASE'!E152</f>
        <v>Paris Saint-Germain</v>
      </c>
      <c r="F151" s="12" t="str">
        <f>'1a FASE'!F152</f>
        <v>Liverpool</v>
      </c>
      <c r="G151" s="12" t="str">
        <f>'1a FASE'!G152</f>
        <v>Barcelona</v>
      </c>
      <c r="H151" s="12" t="str">
        <f>'1a FASE'!H152</f>
        <v>Chelsea</v>
      </c>
      <c r="I151" s="12" t="str">
        <f>'1a FASE'!I152</f>
        <v>Chelsea</v>
      </c>
      <c r="J151" s="12" t="str">
        <f>'1a FASE'!J152</f>
        <v>Paris Saint-Germain</v>
      </c>
      <c r="K151" s="12" t="str">
        <f>'1a FASE'!K152</f>
        <v>Liverpool</v>
      </c>
      <c r="L151" s="12" t="str">
        <f>'1a FASE'!L152</f>
        <v>Barcelona</v>
      </c>
      <c r="M151" s="12" t="str">
        <f>'1a FASE'!M152</f>
        <v>Liverpool</v>
      </c>
      <c r="N151" s="12" t="str">
        <f>'1a FASE'!N152</f>
        <v>Barcelona</v>
      </c>
      <c r="O151" s="12" t="str">
        <f>'1a FASE'!O152</f>
        <v>Barcelona</v>
      </c>
      <c r="P151" s="12" t="str">
        <f>'1a FASE'!P152</f>
        <v>Barcelona</v>
      </c>
      <c r="Q151" s="12" t="str">
        <f>'1a FASE'!Q152</f>
        <v>Liverpool</v>
      </c>
      <c r="R151" s="12" t="str">
        <f>'1a FASE'!R152</f>
        <v>Paris Saint-Germain</v>
      </c>
      <c r="S151" s="12" t="str">
        <f>'1a FASE'!S152</f>
        <v>Barcelona</v>
      </c>
      <c r="T151" s="12" t="str">
        <f>'1a FASE'!T152</f>
        <v>Paris Saint-Germain</v>
      </c>
      <c r="U151" s="12" t="str">
        <f>'1a FASE'!U152</f>
        <v>Barcelona</v>
      </c>
      <c r="V151" s="12" t="str">
        <f>'1a FASE'!V152</f>
        <v>Real Madrid</v>
      </c>
      <c r="W151" s="12" t="str">
        <f>'1a FASE'!W152</f>
        <v>Barcelona</v>
      </c>
      <c r="X151" s="12">
        <f>IF(COUNTIF($B$151:$B$158,C151)&gt;0,Pesos!$L$4,0)+IF($B151=C151,Pesos!$L$5,0)</f>
        <v>0</v>
      </c>
      <c r="Y151" s="12">
        <f>IF(COUNTIF($B$151:$B$158,D151)&gt;0,Pesos!$L$4,0)+IF($B151=D151,Pesos!$L$5,0)</f>
        <v>4.2</v>
      </c>
      <c r="Z151" s="12">
        <f>IF(COUNTIF($B$151:$B$158,E151)&gt;0,Pesos!$L$4,0)+IF($B151=E151,Pesos!$L$5,0)</f>
        <v>0</v>
      </c>
      <c r="AA151" s="12">
        <f>IF(COUNTIF($B$151:$B$158,F151)&gt;0,Pesos!$L$4,0)+IF($B151=F151,Pesos!$L$5,0)</f>
        <v>4.2</v>
      </c>
      <c r="AB151" s="12">
        <f>IF(COUNTIF($B$151:$B$158,G151)&gt;0,Pesos!$L$4,0)+IF($B151=G151,Pesos!$L$5,0)</f>
        <v>4.2</v>
      </c>
      <c r="AC151" s="12">
        <f>IF(COUNTIF($B$151:$B$158,H151)&gt;0,Pesos!$L$4,0)+IF($B151=H151,Pesos!$L$5,0)</f>
        <v>4.2</v>
      </c>
      <c r="AD151" s="12">
        <f>IF(COUNTIF($B$151:$B$158,I151)&gt;0,Pesos!$L$4,0)+IF($B151=I151,Pesos!$L$5,0)</f>
        <v>4.2</v>
      </c>
      <c r="AE151" s="12">
        <f>IF(COUNTIF($B$151:$B$158,J151)&gt;0,Pesos!$L$4,0)+IF($B151=J151,Pesos!$L$5,0)</f>
        <v>0</v>
      </c>
      <c r="AF151" s="12">
        <f>IF(COUNTIF($B$151:$B$158,K151)&gt;0,Pesos!$L$4,0)+IF($B151=K151,Pesos!$L$5,0)</f>
        <v>4.2</v>
      </c>
      <c r="AG151" s="12">
        <f>IF(COUNTIF($B$151:$B$158,L151)&gt;0,Pesos!$L$4,0)+IF($B151=L151,Pesos!$L$5,0)</f>
        <v>4.2</v>
      </c>
      <c r="AH151" s="12">
        <f>IF(COUNTIF($B$151:$B$158,M151)&gt;0,Pesos!$L$4,0)+IF($B151=M151,Pesos!$L$5,0)</f>
        <v>4.2</v>
      </c>
      <c r="AI151" s="12">
        <f>IF(COUNTIF($B$151:$B$158,N151)&gt;0,Pesos!$L$4,0)+IF($B151=N151,Pesos!$L$5,0)</f>
        <v>4.2</v>
      </c>
      <c r="AJ151" s="12">
        <f>IF(COUNTIF($B$151:$B$158,O151)&gt;0,Pesos!$L$4,0)+IF($B151=O151,Pesos!$L$5,0)</f>
        <v>4.2</v>
      </c>
      <c r="AK151" s="12">
        <f>IF(COUNTIF($B$151:$B$158,P151)&gt;0,Pesos!$L$4,0)+IF($B151=P151,Pesos!$L$5,0)</f>
        <v>4.2</v>
      </c>
      <c r="AL151" s="12">
        <f>IF(COUNTIF($B$151:$B$158,Q151)&gt;0,Pesos!$L$4,0)+IF($B151=Q151,Pesos!$L$5,0)</f>
        <v>4.2</v>
      </c>
      <c r="AM151" s="12">
        <f>IF(COUNTIF($B$151:$B$158,R151)&gt;0,Pesos!$L$4,0)+IF($B151=R151,Pesos!$L$5,0)</f>
        <v>0</v>
      </c>
      <c r="AN151" s="12">
        <f>IF(COUNTIF($B$151:$B$158,S151)&gt;0,Pesos!$L$4,0)+IF($B151=S151,Pesos!$L$5,0)</f>
        <v>4.2</v>
      </c>
      <c r="AO151" s="12">
        <f>IF(COUNTIF($B$151:$B$158,T151)&gt;0,Pesos!$L$4,0)+IF($B151=T151,Pesos!$L$5,0)</f>
        <v>0</v>
      </c>
      <c r="AP151" s="12">
        <f>IF(COUNTIF($B$151:$B$158,U151)&gt;0,Pesos!$L$4,0)+IF($B151=U151,Pesos!$L$5,0)</f>
        <v>4.2</v>
      </c>
      <c r="AQ151" s="12">
        <f>IF(COUNTIF($B$151:$B$158,V151)&gt;0,Pesos!$L$4,0)+IF($B151=V151,Pesos!$L$5,0)</f>
        <v>0</v>
      </c>
      <c r="AR151" s="12">
        <f>IF(COUNTIF($B$151:$B$158,W151)&gt;0,Pesos!$L$4,0)+IF($B151=W151,Pesos!$L$5,0)</f>
        <v>4.2</v>
      </c>
    </row>
    <row r="152" ht="12.75" customHeight="1">
      <c r="A152" s="1" t="str">
        <f>'1a FASE'!A153</f>
        <v>Classificado 2</v>
      </c>
      <c r="B152" s="8" t="str">
        <f>'1a FASE'!B153</f>
        <v>Bayern de Munique</v>
      </c>
      <c r="C152" s="13" t="str">
        <f>'1a FASE'!C153</f>
        <v>Paris Saint-Germain</v>
      </c>
      <c r="D152" s="13" t="str">
        <f>'1a FASE'!D153</f>
        <v>Liverpool</v>
      </c>
      <c r="E152" s="13" t="str">
        <f>'1a FASE'!E153</f>
        <v>Chelsea</v>
      </c>
      <c r="F152" s="13" t="str">
        <f>'1a FASE'!F153</f>
        <v>Paris Saint-Germain</v>
      </c>
      <c r="G152" s="13" t="str">
        <f>'1a FASE'!G153</f>
        <v>Paris Saint-Germain</v>
      </c>
      <c r="H152" s="13" t="str">
        <f>'1a FASE'!H153</f>
        <v>Barcelona</v>
      </c>
      <c r="I152" s="13" t="str">
        <f>'1a FASE'!I153</f>
        <v>Paris Saint-Germain</v>
      </c>
      <c r="J152" s="13" t="str">
        <f>'1a FASE'!J153</f>
        <v>Chelsea</v>
      </c>
      <c r="K152" s="13" t="str">
        <f>'1a FASE'!K153</f>
        <v>Barcelona</v>
      </c>
      <c r="L152" s="13" t="str">
        <f>'1a FASE'!L153</f>
        <v>Chelsea</v>
      </c>
      <c r="M152" s="13" t="str">
        <f>'1a FASE'!M153</f>
        <v>Chelsea</v>
      </c>
      <c r="N152" s="13" t="str">
        <f>'1a FASE'!N153</f>
        <v>Manchester City</v>
      </c>
      <c r="O152" s="13" t="str">
        <f>'1a FASE'!O153</f>
        <v>Liverpool</v>
      </c>
      <c r="P152" s="13" t="str">
        <f>'1a FASE'!P153</f>
        <v>Paris Saint-Germain</v>
      </c>
      <c r="Q152" s="13" t="str">
        <f>'1a FASE'!Q153</f>
        <v>Chelsea</v>
      </c>
      <c r="R152" s="13" t="str">
        <f>'1a FASE'!R153</f>
        <v>Bayern de Munique</v>
      </c>
      <c r="S152" s="13" t="str">
        <f>'1a FASE'!S153</f>
        <v>Liverpool</v>
      </c>
      <c r="T152" s="13" t="str">
        <f>'1a FASE'!T153</f>
        <v>Real Madrid</v>
      </c>
      <c r="U152" s="13" t="str">
        <f>'1a FASE'!U153</f>
        <v>Chelsea</v>
      </c>
      <c r="V152" s="13" t="str">
        <f>'1a FASE'!V153</f>
        <v>Manchester City</v>
      </c>
      <c r="W152" s="13" t="str">
        <f>'1a FASE'!W153</f>
        <v>Real Madrid</v>
      </c>
      <c r="X152" s="13">
        <f>IF(COUNTIF($B$151:$B$158,C152)&gt;0,Pesos!$L$4,0)+IF($B152=C152,Pesos!$L$5,0)</f>
        <v>0</v>
      </c>
      <c r="Y152" s="13">
        <f>IF(COUNTIF($B$151:$B$158,D152)&gt;0,Pesos!$L$4,0)+IF($B152=D152,Pesos!$L$5,0)</f>
        <v>4.2</v>
      </c>
      <c r="Z152" s="13">
        <f>IF(COUNTIF($B$151:$B$158,E152)&gt;0,Pesos!$L$4,0)+IF($B152=E152,Pesos!$L$5,0)</f>
        <v>4.2</v>
      </c>
      <c r="AA152" s="13">
        <f>IF(COUNTIF($B$151:$B$158,F152)&gt;0,Pesos!$L$4,0)+IF($B152=F152,Pesos!$L$5,0)</f>
        <v>0</v>
      </c>
      <c r="AB152" s="13">
        <f>IF(COUNTIF($B$151:$B$158,G152)&gt;0,Pesos!$L$4,0)+IF($B152=G152,Pesos!$L$5,0)</f>
        <v>0</v>
      </c>
      <c r="AC152" s="13">
        <f>IF(COUNTIF($B$151:$B$158,H152)&gt;0,Pesos!$L$4,0)+IF($B152=H152,Pesos!$L$5,0)</f>
        <v>4.2</v>
      </c>
      <c r="AD152" s="13">
        <f>IF(COUNTIF($B$151:$B$158,I152)&gt;0,Pesos!$L$4,0)+IF($B152=I152,Pesos!$L$5,0)</f>
        <v>0</v>
      </c>
      <c r="AE152" s="13">
        <f>IF(COUNTIF($B$151:$B$158,J152)&gt;0,Pesos!$L$4,0)+IF($B152=J152,Pesos!$L$5,0)</f>
        <v>4.2</v>
      </c>
      <c r="AF152" s="13">
        <f>IF(COUNTIF($B$151:$B$158,K152)&gt;0,Pesos!$L$4,0)+IF($B152=K152,Pesos!$L$5,0)</f>
        <v>4.2</v>
      </c>
      <c r="AG152" s="13">
        <f>IF(COUNTIF($B$151:$B$158,L152)&gt;0,Pesos!$L$4,0)+IF($B152=L152,Pesos!$L$5,0)</f>
        <v>4.2</v>
      </c>
      <c r="AH152" s="13">
        <f>IF(COUNTIF($B$151:$B$158,M152)&gt;0,Pesos!$L$4,0)+IF($B152=M152,Pesos!$L$5,0)</f>
        <v>4.2</v>
      </c>
      <c r="AI152" s="13">
        <f>IF(COUNTIF($B$151:$B$158,N152)&gt;0,Pesos!$L$4,0)+IF($B152=N152,Pesos!$L$5,0)</f>
        <v>4.2</v>
      </c>
      <c r="AJ152" s="13">
        <f>IF(COUNTIF($B$151:$B$158,O152)&gt;0,Pesos!$L$4,0)+IF($B152=O152,Pesos!$L$5,0)</f>
        <v>4.2</v>
      </c>
      <c r="AK152" s="13">
        <f>IF(COUNTIF($B$151:$B$158,P152)&gt;0,Pesos!$L$4,0)+IF($B152=P152,Pesos!$L$5,0)</f>
        <v>0</v>
      </c>
      <c r="AL152" s="13">
        <f>IF(COUNTIF($B$151:$B$158,Q152)&gt;0,Pesos!$L$4,0)+IF($B152=Q152,Pesos!$L$5,0)</f>
        <v>4.2</v>
      </c>
      <c r="AM152" s="13">
        <f>IF(COUNTIF($B$151:$B$158,R152)&gt;0,Pesos!$L$4,0)+IF($B152=R152,Pesos!$L$5,0)</f>
        <v>6.2</v>
      </c>
      <c r="AN152" s="13">
        <f>IF(COUNTIF($B$151:$B$158,S152)&gt;0,Pesos!$L$4,0)+IF($B152=S152,Pesos!$L$5,0)</f>
        <v>4.2</v>
      </c>
      <c r="AO152" s="13">
        <f>IF(COUNTIF($B$151:$B$158,T152)&gt;0,Pesos!$L$4,0)+IF($B152=T152,Pesos!$L$5,0)</f>
        <v>0</v>
      </c>
      <c r="AP152" s="13">
        <f>IF(COUNTIF($B$151:$B$158,U152)&gt;0,Pesos!$L$4,0)+IF($B152=U152,Pesos!$L$5,0)</f>
        <v>4.2</v>
      </c>
      <c r="AQ152" s="13">
        <f>IF(COUNTIF($B$151:$B$158,V152)&gt;0,Pesos!$L$4,0)+IF($B152=V152,Pesos!$L$5,0)</f>
        <v>4.2</v>
      </c>
      <c r="AR152" s="13">
        <f>IF(COUNTIF($B$151:$B$158,W152)&gt;0,Pesos!$L$4,0)+IF($B152=W152,Pesos!$L$5,0)</f>
        <v>0</v>
      </c>
    </row>
    <row r="153" ht="12.75" customHeight="1">
      <c r="A153" s="1" t="str">
        <f>'1a FASE'!A154</f>
        <v>Classificado 3</v>
      </c>
      <c r="B153" s="8" t="str">
        <f>'1a FASE'!B154</f>
        <v>Liverpool</v>
      </c>
      <c r="C153" s="12" t="str">
        <f>'1a FASE'!C154</f>
        <v>Manchester City</v>
      </c>
      <c r="D153" s="12" t="str">
        <f>'1a FASE'!D154</f>
        <v>Real Madrid</v>
      </c>
      <c r="E153" s="12" t="str">
        <f>'1a FASE'!E154</f>
        <v>Liverpool</v>
      </c>
      <c r="F153" s="12" t="str">
        <f>'1a FASE'!F154</f>
        <v>Real Madrid</v>
      </c>
      <c r="G153" s="12" t="str">
        <f>'1a FASE'!G154</f>
        <v>Liverpool</v>
      </c>
      <c r="H153" s="12" t="str">
        <f>'1a FASE'!H154</f>
        <v>Real Madrid</v>
      </c>
      <c r="I153" s="12" t="str">
        <f>'1a FASE'!I154</f>
        <v>Real Madrid</v>
      </c>
      <c r="J153" s="12" t="str">
        <f>'1a FASE'!J154</f>
        <v>Barcelona</v>
      </c>
      <c r="K153" s="12" t="str">
        <f>'1a FASE'!K154</f>
        <v>Paris Saint-Germain</v>
      </c>
      <c r="L153" s="12" t="str">
        <f>'1a FASE'!L154</f>
        <v>Internazionale</v>
      </c>
      <c r="M153" s="12" t="str">
        <f>'1a FASE'!M154</f>
        <v>Paris Saint-Germain</v>
      </c>
      <c r="N153" s="12" t="str">
        <f>'1a FASE'!N154</f>
        <v>Paris Saint-Germain</v>
      </c>
      <c r="O153" s="12" t="str">
        <f>'1a FASE'!O154</f>
        <v>Manchester City</v>
      </c>
      <c r="P153" s="12" t="str">
        <f>'1a FASE'!P154</f>
        <v>Liverpool</v>
      </c>
      <c r="Q153" s="12" t="str">
        <f>'1a FASE'!Q154</f>
        <v>Barcelona</v>
      </c>
      <c r="R153" s="12" t="str">
        <f>'1a FASE'!R154</f>
        <v>Liverpool</v>
      </c>
      <c r="S153" s="12" t="str">
        <f>'1a FASE'!S154</f>
        <v>Manchester City</v>
      </c>
      <c r="T153" s="12" t="str">
        <f>'1a FASE'!T154</f>
        <v>Bayern de Munique</v>
      </c>
      <c r="U153" s="12" t="str">
        <f>'1a FASE'!U154</f>
        <v>Paris Saint-Germain</v>
      </c>
      <c r="V153" s="12" t="str">
        <f>'1a FASE'!V154</f>
        <v>Bayern de Munique</v>
      </c>
      <c r="W153" s="12" t="str">
        <f>'1a FASE'!W154</f>
        <v>Paris Saint-Germain</v>
      </c>
      <c r="X153" s="12">
        <f>IF(COUNTIF($B$151:$B$158,C153)&gt;0,Pesos!$L$4,0)+IF($B153=C153,Pesos!$L$5,0)</f>
        <v>4.2</v>
      </c>
      <c r="Y153" s="12">
        <f>IF(COUNTIF($B$151:$B$158,D153)&gt;0,Pesos!$L$4,0)+IF($B153=D153,Pesos!$L$5,0)</f>
        <v>0</v>
      </c>
      <c r="Z153" s="12">
        <f>IF(COUNTIF($B$151:$B$158,E153)&gt;0,Pesos!$L$4,0)+IF($B153=E153,Pesos!$L$5,0)</f>
        <v>6.2</v>
      </c>
      <c r="AA153" s="12">
        <f>IF(COUNTIF($B$151:$B$158,F153)&gt;0,Pesos!$L$4,0)+IF($B153=F153,Pesos!$L$5,0)</f>
        <v>0</v>
      </c>
      <c r="AB153" s="12">
        <f>IF(COUNTIF($B$151:$B$158,G153)&gt;0,Pesos!$L$4,0)+IF($B153=G153,Pesos!$L$5,0)</f>
        <v>6.2</v>
      </c>
      <c r="AC153" s="12">
        <f>IF(COUNTIF($B$151:$B$158,H153)&gt;0,Pesos!$L$4,0)+IF($B153=H153,Pesos!$L$5,0)</f>
        <v>0</v>
      </c>
      <c r="AD153" s="12">
        <f>IF(COUNTIF($B$151:$B$158,I153)&gt;0,Pesos!$L$4,0)+IF($B153=I153,Pesos!$L$5,0)</f>
        <v>0</v>
      </c>
      <c r="AE153" s="12">
        <f>IF(COUNTIF($B$151:$B$158,J153)&gt;0,Pesos!$L$4,0)+IF($B153=J153,Pesos!$L$5,0)</f>
        <v>4.2</v>
      </c>
      <c r="AF153" s="12">
        <f>IF(COUNTIF($B$151:$B$158,K153)&gt;0,Pesos!$L$4,0)+IF($B153=K153,Pesos!$L$5,0)</f>
        <v>0</v>
      </c>
      <c r="AG153" s="12">
        <f>IF(COUNTIF($B$151:$B$158,L153)&gt;0,Pesos!$L$4,0)+IF($B153=L153,Pesos!$L$5,0)</f>
        <v>0</v>
      </c>
      <c r="AH153" s="12">
        <f>IF(COUNTIF($B$151:$B$158,M153)&gt;0,Pesos!$L$4,0)+IF($B153=M153,Pesos!$L$5,0)</f>
        <v>0</v>
      </c>
      <c r="AI153" s="12">
        <f>IF(COUNTIF($B$151:$B$158,N153)&gt;0,Pesos!$L$4,0)+IF($B153=N153,Pesos!$L$5,0)</f>
        <v>0</v>
      </c>
      <c r="AJ153" s="12">
        <f>IF(COUNTIF($B$151:$B$158,O153)&gt;0,Pesos!$L$4,0)+IF($B153=O153,Pesos!$L$5,0)</f>
        <v>4.2</v>
      </c>
      <c r="AK153" s="12">
        <f>IF(COUNTIF($B$151:$B$158,P153)&gt;0,Pesos!$L$4,0)+IF($B153=P153,Pesos!$L$5,0)</f>
        <v>6.2</v>
      </c>
      <c r="AL153" s="12">
        <f>IF(COUNTIF($B$151:$B$158,Q153)&gt;0,Pesos!$L$4,0)+IF($B153=Q153,Pesos!$L$5,0)</f>
        <v>4.2</v>
      </c>
      <c r="AM153" s="12">
        <f>IF(COUNTIF($B$151:$B$158,R153)&gt;0,Pesos!$L$4,0)+IF($B153=R153,Pesos!$L$5,0)</f>
        <v>6.2</v>
      </c>
      <c r="AN153" s="12">
        <f>IF(COUNTIF($B$151:$B$158,S153)&gt;0,Pesos!$L$4,0)+IF($B153=S153,Pesos!$L$5,0)</f>
        <v>4.2</v>
      </c>
      <c r="AO153" s="12">
        <f>IF(COUNTIF($B$151:$B$158,T153)&gt;0,Pesos!$L$4,0)+IF($B153=T153,Pesos!$L$5,0)</f>
        <v>4.2</v>
      </c>
      <c r="AP153" s="12">
        <f>IF(COUNTIF($B$151:$B$158,U153)&gt;0,Pesos!$L$4,0)+IF($B153=U153,Pesos!$L$5,0)</f>
        <v>0</v>
      </c>
      <c r="AQ153" s="12">
        <f>IF(COUNTIF($B$151:$B$158,V153)&gt;0,Pesos!$L$4,0)+IF($B153=V153,Pesos!$L$5,0)</f>
        <v>4.2</v>
      </c>
      <c r="AR153" s="12">
        <f>IF(COUNTIF($B$151:$B$158,W153)&gt;0,Pesos!$L$4,0)+IF($B153=W153,Pesos!$L$5,0)</f>
        <v>0</v>
      </c>
    </row>
    <row r="154" ht="12.75" customHeight="1">
      <c r="A154" s="1" t="str">
        <f>'1a FASE'!A155</f>
        <v>Classificado 4</v>
      </c>
      <c r="B154" s="8" t="str">
        <f>'1a FASE'!B155</f>
        <v>Tottenham</v>
      </c>
      <c r="C154" s="13" t="str">
        <f>'1a FASE'!C155</f>
        <v>Bayern de Munique</v>
      </c>
      <c r="D154" s="13" t="str">
        <f>'1a FASE'!D155</f>
        <v>Paris Saint-Germain</v>
      </c>
      <c r="E154" s="13" t="str">
        <f>'1a FASE'!E155</f>
        <v>Arsenal</v>
      </c>
      <c r="F154" s="13" t="str">
        <f>'1a FASE'!F155</f>
        <v>Barcelona</v>
      </c>
      <c r="G154" s="13" t="str">
        <f>'1a FASE'!G155</f>
        <v>Bayern de Munique</v>
      </c>
      <c r="H154" s="13" t="str">
        <f>'1a FASE'!H155</f>
        <v>Bayern de Munique</v>
      </c>
      <c r="I154" s="13" t="str">
        <f>'1a FASE'!I155</f>
        <v>Bayern de Munique</v>
      </c>
      <c r="J154" s="13" t="str">
        <f>'1a FASE'!J155</f>
        <v>Liverpool</v>
      </c>
      <c r="K154" s="13" t="str">
        <f>'1a FASE'!K155</f>
        <v>Bayern de Munique</v>
      </c>
      <c r="L154" s="13" t="str">
        <f>'1a FASE'!L155</f>
        <v>Bayern de Munique</v>
      </c>
      <c r="M154" s="13" t="str">
        <f>'1a FASE'!M155</f>
        <v>Real Madrid</v>
      </c>
      <c r="N154" s="13" t="str">
        <f>'1a FASE'!N155</f>
        <v>Real Madrid</v>
      </c>
      <c r="O154" s="13" t="str">
        <f>'1a FASE'!O155</f>
        <v>Paris Saint-Germain</v>
      </c>
      <c r="P154" s="13" t="str">
        <f>'1a FASE'!P155</f>
        <v>Manchester City</v>
      </c>
      <c r="Q154" s="13" t="str">
        <f>'1a FASE'!Q155</f>
        <v>Villarreal</v>
      </c>
      <c r="R154" s="13" t="str">
        <f>'1a FASE'!R155</f>
        <v>Manchester City</v>
      </c>
      <c r="S154" s="13" t="str">
        <f>'1a FASE'!S155</f>
        <v>Real Madrid</v>
      </c>
      <c r="T154" s="13" t="str">
        <f>'1a FASE'!T155</f>
        <v>Manchester City</v>
      </c>
      <c r="U154" s="13" t="str">
        <f>'1a FASE'!U155</f>
        <v>Real Madrid</v>
      </c>
      <c r="V154" s="13" t="str">
        <f>'1a FASE'!V155</f>
        <v>Paris Saint-Germain</v>
      </c>
      <c r="W154" s="13" t="str">
        <f>'1a FASE'!W155</f>
        <v>Liverpool</v>
      </c>
      <c r="X154" s="13">
        <f>IF(COUNTIF($B$151:$B$158,C154)&gt;0,Pesos!$L$4,0)+IF($B154=C154,Pesos!$L$5,0)</f>
        <v>4.2</v>
      </c>
      <c r="Y154" s="13">
        <f>IF(COUNTIF($B$151:$B$158,D154)&gt;0,Pesos!$L$4,0)+IF($B154=D154,Pesos!$L$5,0)</f>
        <v>0</v>
      </c>
      <c r="Z154" s="13">
        <f>IF(COUNTIF($B$151:$B$158,E154)&gt;0,Pesos!$L$4,0)+IF($B154=E154,Pesos!$L$5,0)</f>
        <v>4.2</v>
      </c>
      <c r="AA154" s="13">
        <f>IF(COUNTIF($B$151:$B$158,F154)&gt;0,Pesos!$L$4,0)+IF($B154=F154,Pesos!$L$5,0)</f>
        <v>4.2</v>
      </c>
      <c r="AB154" s="13">
        <f>IF(COUNTIF($B$151:$B$158,G154)&gt;0,Pesos!$L$4,0)+IF($B154=G154,Pesos!$L$5,0)</f>
        <v>4.2</v>
      </c>
      <c r="AC154" s="13">
        <f>IF(COUNTIF($B$151:$B$158,H154)&gt;0,Pesos!$L$4,0)+IF($B154=H154,Pesos!$L$5,0)</f>
        <v>4.2</v>
      </c>
      <c r="AD154" s="13">
        <f>IF(COUNTIF($B$151:$B$158,I154)&gt;0,Pesos!$L$4,0)+IF($B154=I154,Pesos!$L$5,0)</f>
        <v>4.2</v>
      </c>
      <c r="AE154" s="13">
        <f>IF(COUNTIF($B$151:$B$158,J154)&gt;0,Pesos!$L$4,0)+IF($B154=J154,Pesos!$L$5,0)</f>
        <v>4.2</v>
      </c>
      <c r="AF154" s="13">
        <f>IF(COUNTIF($B$151:$B$158,K154)&gt;0,Pesos!$L$4,0)+IF($B154=K154,Pesos!$L$5,0)</f>
        <v>4.2</v>
      </c>
      <c r="AG154" s="13">
        <f>IF(COUNTIF($B$151:$B$158,L154)&gt;0,Pesos!$L$4,0)+IF($B154=L154,Pesos!$L$5,0)</f>
        <v>4.2</v>
      </c>
      <c r="AH154" s="13">
        <f>IF(COUNTIF($B$151:$B$158,M154)&gt;0,Pesos!$L$4,0)+IF($B154=M154,Pesos!$L$5,0)</f>
        <v>0</v>
      </c>
      <c r="AI154" s="13">
        <f>IF(COUNTIF($B$151:$B$158,N154)&gt;0,Pesos!$L$4,0)+IF($B154=N154,Pesos!$L$5,0)</f>
        <v>0</v>
      </c>
      <c r="AJ154" s="13">
        <f>IF(COUNTIF($B$151:$B$158,O154)&gt;0,Pesos!$L$4,0)+IF($B154=O154,Pesos!$L$5,0)</f>
        <v>0</v>
      </c>
      <c r="AK154" s="13">
        <f>IF(COUNTIF($B$151:$B$158,P154)&gt;0,Pesos!$L$4,0)+IF($B154=P154,Pesos!$L$5,0)</f>
        <v>4.2</v>
      </c>
      <c r="AL154" s="13">
        <f>IF(COUNTIF($B$151:$B$158,Q154)&gt;0,Pesos!$L$4,0)+IF($B154=Q154,Pesos!$L$5,0)</f>
        <v>0</v>
      </c>
      <c r="AM154" s="13">
        <f>IF(COUNTIF($B$151:$B$158,R154)&gt;0,Pesos!$L$4,0)+IF($B154=R154,Pesos!$L$5,0)</f>
        <v>4.2</v>
      </c>
      <c r="AN154" s="13">
        <f>IF(COUNTIF($B$151:$B$158,S154)&gt;0,Pesos!$L$4,0)+IF($B154=S154,Pesos!$L$5,0)</f>
        <v>0</v>
      </c>
      <c r="AO154" s="13">
        <f>IF(COUNTIF($B$151:$B$158,T154)&gt;0,Pesos!$L$4,0)+IF($B154=T154,Pesos!$L$5,0)</f>
        <v>4.2</v>
      </c>
      <c r="AP154" s="13">
        <f>IF(COUNTIF($B$151:$B$158,U154)&gt;0,Pesos!$L$4,0)+IF($B154=U154,Pesos!$L$5,0)</f>
        <v>0</v>
      </c>
      <c r="AQ154" s="13">
        <f>IF(COUNTIF($B$151:$B$158,V154)&gt;0,Pesos!$L$4,0)+IF($B154=V154,Pesos!$L$5,0)</f>
        <v>0</v>
      </c>
      <c r="AR154" s="13">
        <f>IF(COUNTIF($B$151:$B$158,W154)&gt;0,Pesos!$L$4,0)+IF($B154=W154,Pesos!$L$5,0)</f>
        <v>4.2</v>
      </c>
    </row>
    <row r="155" ht="12.75" customHeight="1">
      <c r="A155" s="1" t="str">
        <f>'1a FASE'!A156</f>
        <v>Classificado 5</v>
      </c>
      <c r="B155" s="8" t="str">
        <f>'1a FASE'!B156</f>
        <v>Barcelona</v>
      </c>
      <c r="C155" s="12" t="str">
        <f>'1a FASE'!C156</f>
        <v>Arsenal</v>
      </c>
      <c r="D155" s="12" t="str">
        <f>'1a FASE'!D156</f>
        <v>Juventus</v>
      </c>
      <c r="E155" s="12" t="str">
        <f>'1a FASE'!E156</f>
        <v>Manchester City</v>
      </c>
      <c r="F155" s="12" t="str">
        <f>'1a FASE'!F156</f>
        <v>Manchester City</v>
      </c>
      <c r="G155" s="12" t="str">
        <f>'1a FASE'!G156</f>
        <v>Real Madrid</v>
      </c>
      <c r="H155" s="12" t="str">
        <f>'1a FASE'!H156</f>
        <v>Liverpool</v>
      </c>
      <c r="I155" s="12" t="str">
        <f>'1a FASE'!I156</f>
        <v>Napoli</v>
      </c>
      <c r="J155" s="12" t="str">
        <f>'1a FASE'!J156</f>
        <v>Real Madrid</v>
      </c>
      <c r="K155" s="12" t="str">
        <f>'1a FASE'!K156</f>
        <v>Arsenal</v>
      </c>
      <c r="L155" s="12" t="str">
        <f>'1a FASE'!L156</f>
        <v>Juventus</v>
      </c>
      <c r="M155" s="12" t="str">
        <f>'1a FASE'!M156</f>
        <v>Bayern de Munique</v>
      </c>
      <c r="N155" s="12" t="str">
        <f>'1a FASE'!N156</f>
        <v>Chelsea</v>
      </c>
      <c r="O155" s="12" t="str">
        <f>'1a FASE'!O156</f>
        <v>Real Madrid</v>
      </c>
      <c r="P155" s="12" t="str">
        <f>'1a FASE'!P156</f>
        <v>Real Madrid</v>
      </c>
      <c r="Q155" s="12" t="str">
        <f>'1a FASE'!Q156</f>
        <v>Bayern de Munique</v>
      </c>
      <c r="R155" s="12" t="str">
        <f>'1a FASE'!R156</f>
        <v>Barcelona</v>
      </c>
      <c r="S155" s="12" t="str">
        <f>'1a FASE'!S156</f>
        <v>Bayern de Munique</v>
      </c>
      <c r="T155" s="12" t="str">
        <f>'1a FASE'!T156</f>
        <v>Barcelona</v>
      </c>
      <c r="U155" s="12" t="str">
        <f>'1a FASE'!U156</f>
        <v>Atalanta</v>
      </c>
      <c r="V155" s="12" t="str">
        <f>'1a FASE'!V156</f>
        <v>Arsenal</v>
      </c>
      <c r="W155" s="12" t="str">
        <f>'1a FASE'!W156</f>
        <v>Bayern de Munique</v>
      </c>
      <c r="X155" s="12">
        <f>IF(COUNTIF($B$151:$B$158,C155)&gt;0,Pesos!$L$4,0)+IF($B155=C155,Pesos!$L$5,0)</f>
        <v>4.2</v>
      </c>
      <c r="Y155" s="12">
        <f>IF(COUNTIF($B$151:$B$158,D155)&gt;0,Pesos!$L$4,0)+IF($B155=D155,Pesos!$L$5,0)</f>
        <v>0</v>
      </c>
      <c r="Z155" s="12">
        <f>IF(COUNTIF($B$151:$B$158,E155)&gt;0,Pesos!$L$4,0)+IF($B155=E155,Pesos!$L$5,0)</f>
        <v>4.2</v>
      </c>
      <c r="AA155" s="12">
        <f>IF(COUNTIF($B$151:$B$158,F155)&gt;0,Pesos!$L$4,0)+IF($B155=F155,Pesos!$L$5,0)</f>
        <v>4.2</v>
      </c>
      <c r="AB155" s="12">
        <f>IF(COUNTIF($B$151:$B$158,G155)&gt;0,Pesos!$L$4,0)+IF($B155=G155,Pesos!$L$5,0)</f>
        <v>0</v>
      </c>
      <c r="AC155" s="12">
        <f>IF(COUNTIF($B$151:$B$158,H155)&gt;0,Pesos!$L$4,0)+IF($B155=H155,Pesos!$L$5,0)</f>
        <v>4.2</v>
      </c>
      <c r="AD155" s="12">
        <f>IF(COUNTIF($B$151:$B$158,I155)&gt;0,Pesos!$L$4,0)+IF($B155=I155,Pesos!$L$5,0)</f>
        <v>0</v>
      </c>
      <c r="AE155" s="12">
        <f>IF(COUNTIF($B$151:$B$158,J155)&gt;0,Pesos!$L$4,0)+IF($B155=J155,Pesos!$L$5,0)</f>
        <v>0</v>
      </c>
      <c r="AF155" s="12">
        <f>IF(COUNTIF($B$151:$B$158,K155)&gt;0,Pesos!$L$4,0)+IF($B155=K155,Pesos!$L$5,0)</f>
        <v>4.2</v>
      </c>
      <c r="AG155" s="12">
        <f>IF(COUNTIF($B$151:$B$158,L155)&gt;0,Pesos!$L$4,0)+IF($B155=L155,Pesos!$L$5,0)</f>
        <v>0</v>
      </c>
      <c r="AH155" s="12">
        <f>IF(COUNTIF($B$151:$B$158,M155)&gt;0,Pesos!$L$4,0)+IF($B155=M155,Pesos!$L$5,0)</f>
        <v>4.2</v>
      </c>
      <c r="AI155" s="12">
        <f>IF(COUNTIF($B$151:$B$158,N155)&gt;0,Pesos!$L$4,0)+IF($B155=N155,Pesos!$L$5,0)</f>
        <v>4.2</v>
      </c>
      <c r="AJ155" s="12">
        <f>IF(COUNTIF($B$151:$B$158,O155)&gt;0,Pesos!$L$4,0)+IF($B155=O155,Pesos!$L$5,0)</f>
        <v>0</v>
      </c>
      <c r="AK155" s="12">
        <f>IF(COUNTIF($B$151:$B$158,P155)&gt;0,Pesos!$L$4,0)+IF($B155=P155,Pesos!$L$5,0)</f>
        <v>0</v>
      </c>
      <c r="AL155" s="12">
        <f>IF(COUNTIF($B$151:$B$158,Q155)&gt;0,Pesos!$L$4,0)+IF($B155=Q155,Pesos!$L$5,0)</f>
        <v>4.2</v>
      </c>
      <c r="AM155" s="12">
        <f>IF(COUNTIF($B$151:$B$158,R155)&gt;0,Pesos!$L$4,0)+IF($B155=R155,Pesos!$L$5,0)</f>
        <v>6.2</v>
      </c>
      <c r="AN155" s="12">
        <f>IF(COUNTIF($B$151:$B$158,S155)&gt;0,Pesos!$L$4,0)+IF($B155=S155,Pesos!$L$5,0)</f>
        <v>4.2</v>
      </c>
      <c r="AO155" s="12">
        <f>IF(COUNTIF($B$151:$B$158,T155)&gt;0,Pesos!$L$4,0)+IF($B155=T155,Pesos!$L$5,0)</f>
        <v>6.2</v>
      </c>
      <c r="AP155" s="12">
        <f>IF(COUNTIF($B$151:$B$158,U155)&gt;0,Pesos!$L$4,0)+IF($B155=U155,Pesos!$L$5,0)</f>
        <v>0</v>
      </c>
      <c r="AQ155" s="12">
        <f>IF(COUNTIF($B$151:$B$158,V155)&gt;0,Pesos!$L$4,0)+IF($B155=V155,Pesos!$L$5,0)</f>
        <v>4.2</v>
      </c>
      <c r="AR155" s="12">
        <f>IF(COUNTIF($B$151:$B$158,W155)&gt;0,Pesos!$L$4,0)+IF($B155=W155,Pesos!$L$5,0)</f>
        <v>4.2</v>
      </c>
    </row>
    <row r="156" ht="12.75" customHeight="1">
      <c r="A156" s="1" t="str">
        <f>'1a FASE'!A157</f>
        <v>Classificado 6</v>
      </c>
      <c r="B156" s="8" t="str">
        <f>'1a FASE'!B157</f>
        <v>Chelsea</v>
      </c>
      <c r="C156" s="13" t="str">
        <f>'1a FASE'!C157</f>
        <v>Internazionale</v>
      </c>
      <c r="D156" s="13" t="str">
        <f>'1a FASE'!D157</f>
        <v>Chelsea</v>
      </c>
      <c r="E156" s="13" t="str">
        <f>'1a FASE'!E157</f>
        <v>Barcelona</v>
      </c>
      <c r="F156" s="13" t="str">
        <f>'1a FASE'!F157</f>
        <v>Bayern de Munique</v>
      </c>
      <c r="G156" s="13" t="str">
        <f>'1a FASE'!G157</f>
        <v>Arsenal</v>
      </c>
      <c r="H156" s="13" t="str">
        <f>'1a FASE'!H157</f>
        <v>Arsenal</v>
      </c>
      <c r="I156" s="13" t="str">
        <f>'1a FASE'!I157</f>
        <v>Juventus</v>
      </c>
      <c r="J156" s="13" t="str">
        <f>'1a FASE'!J157</f>
        <v>Bayern de Munique</v>
      </c>
      <c r="K156" s="13" t="str">
        <f>'1a FASE'!K157</f>
        <v>Real Madrid</v>
      </c>
      <c r="L156" s="13" t="str">
        <f>'1a FASE'!L157</f>
        <v>Manchester City</v>
      </c>
      <c r="M156" s="13" t="str">
        <f>'1a FASE'!M157</f>
        <v>Manchester City</v>
      </c>
      <c r="N156" s="13" t="str">
        <f>'1a FASE'!N157</f>
        <v>Bayern de Munique</v>
      </c>
      <c r="O156" s="13" t="str">
        <f>'1a FASE'!O157</f>
        <v>Bayern de Munique</v>
      </c>
      <c r="P156" s="13" t="str">
        <f>'1a FASE'!P157</f>
        <v>Chelsea</v>
      </c>
      <c r="Q156" s="13" t="str">
        <f>'1a FASE'!Q157</f>
        <v>Arsenal</v>
      </c>
      <c r="R156" s="13" t="str">
        <f>'1a FASE'!R157</f>
        <v>Real Madrid</v>
      </c>
      <c r="S156" s="13" t="str">
        <f>'1a FASE'!S157</f>
        <v>Chelsea</v>
      </c>
      <c r="T156" s="13" t="str">
        <f>'1a FASE'!T157</f>
        <v>Chelsea</v>
      </c>
      <c r="U156" s="13" t="str">
        <f>'1a FASE'!U157</f>
        <v>Manchester City</v>
      </c>
      <c r="V156" s="13" t="str">
        <f>'1a FASE'!V157</f>
        <v>Internazionale</v>
      </c>
      <c r="W156" s="13" t="str">
        <f>'1a FASE'!W157</f>
        <v>Arsenal</v>
      </c>
      <c r="X156" s="13">
        <f>IF(COUNTIF($B$151:$B$158,C156)&gt;0,Pesos!$L$4,0)+IF($B156=C156,Pesos!$L$5,0)</f>
        <v>0</v>
      </c>
      <c r="Y156" s="13">
        <f>IF(COUNTIF($B$151:$B$158,D156)&gt;0,Pesos!$L$4,0)+IF($B156=D156,Pesos!$L$5,0)</f>
        <v>6.2</v>
      </c>
      <c r="Z156" s="13">
        <f>IF(COUNTIF($B$151:$B$158,E156)&gt;0,Pesos!$L$4,0)+IF($B156=E156,Pesos!$L$5,0)</f>
        <v>4.2</v>
      </c>
      <c r="AA156" s="13">
        <f>IF(COUNTIF($B$151:$B$158,F156)&gt;0,Pesos!$L$4,0)+IF($B156=F156,Pesos!$L$5,0)</f>
        <v>4.2</v>
      </c>
      <c r="AB156" s="13">
        <f>IF(COUNTIF($B$151:$B$158,G156)&gt;0,Pesos!$L$4,0)+IF($B156=G156,Pesos!$L$5,0)</f>
        <v>4.2</v>
      </c>
      <c r="AC156" s="13">
        <f>IF(COUNTIF($B$151:$B$158,H156)&gt;0,Pesos!$L$4,0)+IF($B156=H156,Pesos!$L$5,0)</f>
        <v>4.2</v>
      </c>
      <c r="AD156" s="13">
        <f>IF(COUNTIF($B$151:$B$158,I156)&gt;0,Pesos!$L$4,0)+IF($B156=I156,Pesos!$L$5,0)</f>
        <v>0</v>
      </c>
      <c r="AE156" s="13">
        <f>IF(COUNTIF($B$151:$B$158,J156)&gt;0,Pesos!$L$4,0)+IF($B156=J156,Pesos!$L$5,0)</f>
        <v>4.2</v>
      </c>
      <c r="AF156" s="13">
        <f>IF(COUNTIF($B$151:$B$158,K156)&gt;0,Pesos!$L$4,0)+IF($B156=K156,Pesos!$L$5,0)</f>
        <v>0</v>
      </c>
      <c r="AG156" s="13">
        <f>IF(COUNTIF($B$151:$B$158,L156)&gt;0,Pesos!$L$4,0)+IF($B156=L156,Pesos!$L$5,0)</f>
        <v>4.2</v>
      </c>
      <c r="AH156" s="13">
        <f>IF(COUNTIF($B$151:$B$158,M156)&gt;0,Pesos!$L$4,0)+IF($B156=M156,Pesos!$L$5,0)</f>
        <v>4.2</v>
      </c>
      <c r="AI156" s="13">
        <f>IF(COUNTIF($B$151:$B$158,N156)&gt;0,Pesos!$L$4,0)+IF($B156=N156,Pesos!$L$5,0)</f>
        <v>4.2</v>
      </c>
      <c r="AJ156" s="13">
        <f>IF(COUNTIF($B$151:$B$158,O156)&gt;0,Pesos!$L$4,0)+IF($B156=O156,Pesos!$L$5,0)</f>
        <v>4.2</v>
      </c>
      <c r="AK156" s="13">
        <f>IF(COUNTIF($B$151:$B$158,P156)&gt;0,Pesos!$L$4,0)+IF($B156=P156,Pesos!$L$5,0)</f>
        <v>6.2</v>
      </c>
      <c r="AL156" s="13">
        <f>IF(COUNTIF($B$151:$B$158,Q156)&gt;0,Pesos!$L$4,0)+IF($B156=Q156,Pesos!$L$5,0)</f>
        <v>4.2</v>
      </c>
      <c r="AM156" s="13">
        <f>IF(COUNTIF($B$151:$B$158,R156)&gt;0,Pesos!$L$4,0)+IF($B156=R156,Pesos!$L$5,0)</f>
        <v>0</v>
      </c>
      <c r="AN156" s="13">
        <f>IF(COUNTIF($B$151:$B$158,S156)&gt;0,Pesos!$L$4,0)+IF($B156=S156,Pesos!$L$5,0)</f>
        <v>6.2</v>
      </c>
      <c r="AO156" s="13">
        <f>IF(COUNTIF($B$151:$B$158,T156)&gt;0,Pesos!$L$4,0)+IF($B156=T156,Pesos!$L$5,0)</f>
        <v>6.2</v>
      </c>
      <c r="AP156" s="13">
        <f>IF(COUNTIF($B$151:$B$158,U156)&gt;0,Pesos!$L$4,0)+IF($B156=U156,Pesos!$L$5,0)</f>
        <v>4.2</v>
      </c>
      <c r="AQ156" s="13">
        <f>IF(COUNTIF($B$151:$B$158,V156)&gt;0,Pesos!$L$4,0)+IF($B156=V156,Pesos!$L$5,0)</f>
        <v>0</v>
      </c>
      <c r="AR156" s="13">
        <f>IF(COUNTIF($B$151:$B$158,W156)&gt;0,Pesos!$L$4,0)+IF($B156=W156,Pesos!$L$5,0)</f>
        <v>4.2</v>
      </c>
    </row>
    <row r="157" ht="12.75" customHeight="1">
      <c r="A157" s="1" t="str">
        <f>'1a FASE'!A158</f>
        <v>Classificado 7</v>
      </c>
      <c r="B157" s="8" t="str">
        <f>'1a FASE'!B158</f>
        <v>Sporting</v>
      </c>
      <c r="C157" s="12" t="str">
        <f>'1a FASE'!C158</f>
        <v>Liverpool</v>
      </c>
      <c r="D157" s="12" t="str">
        <f>'1a FASE'!D158</f>
        <v>Manchester City</v>
      </c>
      <c r="E157" s="12" t="str">
        <f>'1a FASE'!E158</f>
        <v>Bayern de Munique</v>
      </c>
      <c r="F157" s="12" t="str">
        <f>'1a FASE'!F158</f>
        <v>Chelsea</v>
      </c>
      <c r="G157" s="12" t="str">
        <f>'1a FASE'!G158</f>
        <v>Manchester City</v>
      </c>
      <c r="H157" s="12" t="str">
        <f>'1a FASE'!H158</f>
        <v>Paris Saint-Germain</v>
      </c>
      <c r="I157" s="12" t="str">
        <f>'1a FASE'!I158</f>
        <v>Barcelona</v>
      </c>
      <c r="J157" s="12" t="str">
        <f>'1a FASE'!J158</f>
        <v>Juventus</v>
      </c>
      <c r="K157" s="12" t="str">
        <f>'1a FASE'!K158</f>
        <v>Manchester City</v>
      </c>
      <c r="L157" s="12" t="str">
        <f>'1a FASE'!L158</f>
        <v>Arsenal</v>
      </c>
      <c r="M157" s="12" t="str">
        <f>'1a FASE'!M158</f>
        <v>Barcelona</v>
      </c>
      <c r="N157" s="12" t="str">
        <f>'1a FASE'!N158</f>
        <v>Arsenal</v>
      </c>
      <c r="O157" s="12" t="str">
        <f>'1a FASE'!O158</f>
        <v>Chelsea</v>
      </c>
      <c r="P157" s="12" t="str">
        <f>'1a FASE'!P158</f>
        <v>Arsenal</v>
      </c>
      <c r="Q157" s="12" t="str">
        <f>'1a FASE'!Q158</f>
        <v>Paris Saint-Germain</v>
      </c>
      <c r="R157" s="12" t="str">
        <f>'1a FASE'!R158</f>
        <v>Arsenal</v>
      </c>
      <c r="S157" s="12" t="str">
        <f>'1a FASE'!S158</f>
        <v>Juventus</v>
      </c>
      <c r="T157" s="12" t="str">
        <f>'1a FASE'!T158</f>
        <v>Liverpool</v>
      </c>
      <c r="U157" s="12" t="str">
        <f>'1a FASE'!U158</f>
        <v>Arsenal</v>
      </c>
      <c r="V157" s="12" t="str">
        <f>'1a FASE'!V158</f>
        <v>Barcelona</v>
      </c>
      <c r="W157" s="12" t="str">
        <f>'1a FASE'!W158</f>
        <v>Chelsea</v>
      </c>
      <c r="X157" s="12">
        <f>IF(COUNTIF($B$151:$B$158,C157)&gt;0,Pesos!$L$4,0)+IF($B157=C157,Pesos!$L$5,0)</f>
        <v>4.2</v>
      </c>
      <c r="Y157" s="12">
        <f>IF(COUNTIF($B$151:$B$158,D157)&gt;0,Pesos!$L$4,0)+IF($B157=D157,Pesos!$L$5,0)</f>
        <v>4.2</v>
      </c>
      <c r="Z157" s="12">
        <f>IF(COUNTIF($B$151:$B$158,E157)&gt;0,Pesos!$L$4,0)+IF($B157=E157,Pesos!$L$5,0)</f>
        <v>4.2</v>
      </c>
      <c r="AA157" s="12">
        <f>IF(COUNTIF($B$151:$B$158,F157)&gt;0,Pesos!$L$4,0)+IF($B157=F157,Pesos!$L$5,0)</f>
        <v>4.2</v>
      </c>
      <c r="AB157" s="12">
        <f>IF(COUNTIF($B$151:$B$158,G157)&gt;0,Pesos!$L$4,0)+IF($B157=G157,Pesos!$L$5,0)</f>
        <v>4.2</v>
      </c>
      <c r="AC157" s="12">
        <f>IF(COUNTIF($B$151:$B$158,H157)&gt;0,Pesos!$L$4,0)+IF($B157=H157,Pesos!$L$5,0)</f>
        <v>0</v>
      </c>
      <c r="AD157" s="12">
        <f>IF(COUNTIF($B$151:$B$158,I157)&gt;0,Pesos!$L$4,0)+IF($B157=I157,Pesos!$L$5,0)</f>
        <v>4.2</v>
      </c>
      <c r="AE157" s="12">
        <f>IF(COUNTIF($B$151:$B$158,J157)&gt;0,Pesos!$L$4,0)+IF($B157=J157,Pesos!$L$5,0)</f>
        <v>0</v>
      </c>
      <c r="AF157" s="12">
        <f>IF(COUNTIF($B$151:$B$158,K157)&gt;0,Pesos!$L$4,0)+IF($B157=K157,Pesos!$L$5,0)</f>
        <v>4.2</v>
      </c>
      <c r="AG157" s="12">
        <f>IF(COUNTIF($B$151:$B$158,L157)&gt;0,Pesos!$L$4,0)+IF($B157=L157,Pesos!$L$5,0)</f>
        <v>4.2</v>
      </c>
      <c r="AH157" s="12">
        <f>IF(COUNTIF($B$151:$B$158,M157)&gt;0,Pesos!$L$4,0)+IF($B157=M157,Pesos!$L$5,0)</f>
        <v>4.2</v>
      </c>
      <c r="AI157" s="12">
        <f>IF(COUNTIF($B$151:$B$158,N157)&gt;0,Pesos!$L$4,0)+IF($B157=N157,Pesos!$L$5,0)</f>
        <v>4.2</v>
      </c>
      <c r="AJ157" s="12">
        <f>IF(COUNTIF($B$151:$B$158,O157)&gt;0,Pesos!$L$4,0)+IF($B157=O157,Pesos!$L$5,0)</f>
        <v>4.2</v>
      </c>
      <c r="AK157" s="12">
        <f>IF(COUNTIF($B$151:$B$158,P157)&gt;0,Pesos!$L$4,0)+IF($B157=P157,Pesos!$L$5,0)</f>
        <v>4.2</v>
      </c>
      <c r="AL157" s="12">
        <f>IF(COUNTIF($B$151:$B$158,Q157)&gt;0,Pesos!$L$4,0)+IF($B157=Q157,Pesos!$L$5,0)</f>
        <v>0</v>
      </c>
      <c r="AM157" s="12">
        <f>IF(COUNTIF($B$151:$B$158,R157)&gt;0,Pesos!$L$4,0)+IF($B157=R157,Pesos!$L$5,0)</f>
        <v>4.2</v>
      </c>
      <c r="AN157" s="12">
        <f>IF(COUNTIF($B$151:$B$158,S157)&gt;0,Pesos!$L$4,0)+IF($B157=S157,Pesos!$L$5,0)</f>
        <v>0</v>
      </c>
      <c r="AO157" s="12">
        <f>IF(COUNTIF($B$151:$B$158,T157)&gt;0,Pesos!$L$4,0)+IF($B157=T157,Pesos!$L$5,0)</f>
        <v>4.2</v>
      </c>
      <c r="AP157" s="12">
        <f>IF(COUNTIF($B$151:$B$158,U157)&gt;0,Pesos!$L$4,0)+IF($B157=U157,Pesos!$L$5,0)</f>
        <v>4.2</v>
      </c>
      <c r="AQ157" s="12">
        <f>IF(COUNTIF($B$151:$B$158,V157)&gt;0,Pesos!$L$4,0)+IF($B157=V157,Pesos!$L$5,0)</f>
        <v>4.2</v>
      </c>
      <c r="AR157" s="12">
        <f>IF(COUNTIF($B$151:$B$158,W157)&gt;0,Pesos!$L$4,0)+IF($B157=W157,Pesos!$L$5,0)</f>
        <v>4.2</v>
      </c>
    </row>
    <row r="158" ht="12.75" customHeight="1">
      <c r="A158" s="1" t="str">
        <f>'1a FASE'!A159</f>
        <v>Classificado 8</v>
      </c>
      <c r="B158" s="8" t="str">
        <f>'1a FASE'!B159</f>
        <v>Manchester City</v>
      </c>
      <c r="C158" s="13" t="str">
        <f>'1a FASE'!C159</f>
        <v>Atalanta</v>
      </c>
      <c r="D158" s="13" t="str">
        <f>'1a FASE'!D159</f>
        <v>Arsenal</v>
      </c>
      <c r="E158" s="13" t="str">
        <f>'1a FASE'!E159</f>
        <v>Real Madrid</v>
      </c>
      <c r="F158" s="13" t="str">
        <f>'1a FASE'!F159</f>
        <v>Atlético de Madrid</v>
      </c>
      <c r="G158" s="13" t="str">
        <f>'1a FASE'!G159</f>
        <v>Atlético de Madrid</v>
      </c>
      <c r="H158" s="13" t="str">
        <f>'1a FASE'!H159</f>
        <v>Internazionale</v>
      </c>
      <c r="I158" s="13" t="str">
        <f>'1a FASE'!I159</f>
        <v>Manchester City</v>
      </c>
      <c r="J158" s="13" t="str">
        <f>'1a FASE'!J159</f>
        <v>Manchester City</v>
      </c>
      <c r="K158" s="13" t="str">
        <f>'1a FASE'!K159</f>
        <v>Internazionale</v>
      </c>
      <c r="L158" s="13" t="str">
        <f>'1a FASE'!L159</f>
        <v>Real Madrid</v>
      </c>
      <c r="M158" s="13" t="str">
        <f>'1a FASE'!M159</f>
        <v>Juventus</v>
      </c>
      <c r="N158" s="13" t="str">
        <f>'1a FASE'!N159</f>
        <v>Tottenham</v>
      </c>
      <c r="O158" s="13" t="str">
        <f>'1a FASE'!O159</f>
        <v>Arsenal</v>
      </c>
      <c r="P158" s="13" t="str">
        <f>'1a FASE'!P159</f>
        <v>Bayern de Munique</v>
      </c>
      <c r="Q158" s="13" t="str">
        <f>'1a FASE'!Q159</f>
        <v>Manchester City</v>
      </c>
      <c r="R158" s="13" t="str">
        <f>'1a FASE'!R159</f>
        <v>Chelsea</v>
      </c>
      <c r="S158" s="13" t="str">
        <f>'1a FASE'!S159</f>
        <v>Napoli</v>
      </c>
      <c r="T158" s="13" t="str">
        <f>'1a FASE'!T159</f>
        <v>Borussia Dortmund</v>
      </c>
      <c r="U158" s="13" t="str">
        <f>'1a FASE'!U159</f>
        <v>Borussia Dortmund</v>
      </c>
      <c r="V158" s="13" t="str">
        <f>'1a FASE'!V159</f>
        <v>Liverpool</v>
      </c>
      <c r="W158" s="13" t="str">
        <f>'1a FASE'!W159</f>
        <v>Atlético de Madrid</v>
      </c>
      <c r="X158" s="13">
        <f>IF(COUNTIF($B$151:$B$158,C158)&gt;0,Pesos!$L$4,0)+IF($B158=C158,Pesos!$L$5,0)</f>
        <v>0</v>
      </c>
      <c r="Y158" s="13">
        <f>IF(COUNTIF($B$151:$B$158,D158)&gt;0,Pesos!$L$4,0)+IF($B158=D158,Pesos!$L$5,0)</f>
        <v>4.2</v>
      </c>
      <c r="Z158" s="13">
        <f>IF(COUNTIF($B$151:$B$158,E158)&gt;0,Pesos!$L$4,0)+IF($B158=E158,Pesos!$L$5,0)</f>
        <v>0</v>
      </c>
      <c r="AA158" s="13">
        <f>IF(COUNTIF($B$151:$B$158,F158)&gt;0,Pesos!$L$4,0)+IF($B158=F158,Pesos!$L$5,0)</f>
        <v>0</v>
      </c>
      <c r="AB158" s="13">
        <f>IF(COUNTIF($B$151:$B$158,G158)&gt;0,Pesos!$L$4,0)+IF($B158=G158,Pesos!$L$5,0)</f>
        <v>0</v>
      </c>
      <c r="AC158" s="13">
        <f>IF(COUNTIF($B$151:$B$158,H158)&gt;0,Pesos!$L$4,0)+IF($B158=H158,Pesos!$L$5,0)</f>
        <v>0</v>
      </c>
      <c r="AD158" s="13">
        <f>IF(COUNTIF($B$151:$B$158,I158)&gt;0,Pesos!$L$4,0)+IF($B158=I158,Pesos!$L$5,0)</f>
        <v>6.2</v>
      </c>
      <c r="AE158" s="13">
        <f>IF(COUNTIF($B$151:$B$158,J158)&gt;0,Pesos!$L$4,0)+IF($B158=J158,Pesos!$L$5,0)</f>
        <v>6.2</v>
      </c>
      <c r="AF158" s="13">
        <f>IF(COUNTIF($B$151:$B$158,K158)&gt;0,Pesos!$L$4,0)+IF($B158=K158,Pesos!$L$5,0)</f>
        <v>0</v>
      </c>
      <c r="AG158" s="13">
        <f>IF(COUNTIF($B$151:$B$158,L158)&gt;0,Pesos!$L$4,0)+IF($B158=L158,Pesos!$L$5,0)</f>
        <v>0</v>
      </c>
      <c r="AH158" s="13">
        <f>IF(COUNTIF($B$151:$B$158,M158)&gt;0,Pesos!$L$4,0)+IF($B158=M158,Pesos!$L$5,0)</f>
        <v>0</v>
      </c>
      <c r="AI158" s="13">
        <f>IF(COUNTIF($B$151:$B$158,N158)&gt;0,Pesos!$L$4,0)+IF($B158=N158,Pesos!$L$5,0)</f>
        <v>4.2</v>
      </c>
      <c r="AJ158" s="13">
        <f>IF(COUNTIF($B$151:$B$158,O158)&gt;0,Pesos!$L$4,0)+IF($B158=O158,Pesos!$L$5,0)</f>
        <v>4.2</v>
      </c>
      <c r="AK158" s="13">
        <f>IF(COUNTIF($B$151:$B$158,P158)&gt;0,Pesos!$L$4,0)+IF($B158=P158,Pesos!$L$5,0)</f>
        <v>4.2</v>
      </c>
      <c r="AL158" s="13">
        <f>IF(COUNTIF($B$151:$B$158,Q158)&gt;0,Pesos!$L$4,0)+IF($B158=Q158,Pesos!$L$5,0)</f>
        <v>6.2</v>
      </c>
      <c r="AM158" s="13">
        <f>IF(COUNTIF($B$151:$B$158,R158)&gt;0,Pesos!$L$4,0)+IF($B158=R158,Pesos!$L$5,0)</f>
        <v>4.2</v>
      </c>
      <c r="AN158" s="13">
        <f>IF(COUNTIF($B$151:$B$158,S158)&gt;0,Pesos!$L$4,0)+IF($B158=S158,Pesos!$L$5,0)</f>
        <v>0</v>
      </c>
      <c r="AO158" s="13">
        <f>IF(COUNTIF($B$151:$B$158,T158)&gt;0,Pesos!$L$4,0)+IF($B158=T158,Pesos!$L$5,0)</f>
        <v>0</v>
      </c>
      <c r="AP158" s="13">
        <f>IF(COUNTIF($B$151:$B$158,U158)&gt;0,Pesos!$L$4,0)+IF($B158=U158,Pesos!$L$5,0)</f>
        <v>0</v>
      </c>
      <c r="AQ158" s="13">
        <f>IF(COUNTIF($B$151:$B$158,V158)&gt;0,Pesos!$L$4,0)+IF($B158=V158,Pesos!$L$5,0)</f>
        <v>4.2</v>
      </c>
      <c r="AR158" s="13">
        <f>IF(COUNTIF($B$151:$B$158,W158)&gt;0,Pesos!$L$4,0)+IF($B158=W158,Pesos!$L$5,0)</f>
        <v>0</v>
      </c>
    </row>
    <row r="159" ht="12.75" customHeight="1">
      <c r="A159" s="1" t="s">
        <v>24</v>
      </c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4">
        <f>IF(C151=$B151,Pesos!$L$5,0)</f>
        <v>0</v>
      </c>
      <c r="Y159" s="14">
        <f>IF(D151=$B151,Pesos!$L$5,0)</f>
        <v>0</v>
      </c>
      <c r="Z159" s="14">
        <f>IF(E151=$B151,Pesos!$L$5,0)</f>
        <v>0</v>
      </c>
      <c r="AA159" s="14">
        <f>IF(F151=$B151,Pesos!$L$5,0)</f>
        <v>0</v>
      </c>
      <c r="AB159" s="14">
        <f>IF(G151=$B151,Pesos!$L$5,0)</f>
        <v>0</v>
      </c>
      <c r="AC159" s="14">
        <f>IF(H151=$B151,Pesos!$L$5,0)</f>
        <v>0</v>
      </c>
      <c r="AD159" s="14">
        <f>IF(I151=$B151,Pesos!$L$5,0)</f>
        <v>0</v>
      </c>
      <c r="AE159" s="14">
        <f>IF(J151=$B151,Pesos!$L$5,0)</f>
        <v>0</v>
      </c>
      <c r="AF159" s="14">
        <f>IF(K151=$B151,Pesos!$L$5,0)</f>
        <v>0</v>
      </c>
      <c r="AG159" s="14">
        <f>IF(L151=$B151,Pesos!$L$5,0)</f>
        <v>0</v>
      </c>
      <c r="AH159" s="14">
        <f>IF(M151=$B151,Pesos!$L$5,0)</f>
        <v>0</v>
      </c>
      <c r="AI159" s="14">
        <f>IF(N151=$B151,Pesos!$L$5,0)</f>
        <v>0</v>
      </c>
      <c r="AJ159" s="14">
        <f>IF(O151=$B151,Pesos!$L$5,0)</f>
        <v>0</v>
      </c>
      <c r="AK159" s="14">
        <f>IF(P151=$B151,Pesos!$L$5,0)</f>
        <v>0</v>
      </c>
      <c r="AL159" s="14">
        <f>IF(Q151=$B151,Pesos!$L$5,0)</f>
        <v>0</v>
      </c>
      <c r="AM159" s="14">
        <f>IF(R151=$B151,Pesos!$L$5,0)</f>
        <v>0</v>
      </c>
      <c r="AN159" s="14">
        <f>IF(S151=$B151,Pesos!$L$5,0)</f>
        <v>0</v>
      </c>
      <c r="AO159" s="14">
        <f>IF(T151=$B151,Pesos!$L$5,0)</f>
        <v>0</v>
      </c>
      <c r="AP159" s="14">
        <f>IF(U151=$B151,Pesos!$L$5,0)</f>
        <v>0</v>
      </c>
      <c r="AQ159" s="14">
        <f>IF(V151=$B151,Pesos!$L$5,0)</f>
        <v>0</v>
      </c>
      <c r="AR159" s="14">
        <f>IF(W151=$B151,Pesos!$L$5,0)</f>
        <v>0</v>
      </c>
    </row>
    <row r="160" ht="12.75" customHeight="1">
      <c r="A160" s="1" t="s">
        <v>25</v>
      </c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4">
        <f>IF(C152=$B152,Pesos!$L$5,0)</f>
        <v>0</v>
      </c>
      <c r="Y160" s="14">
        <f>IF(D152=$B152,Pesos!$L$5,0)</f>
        <v>0</v>
      </c>
      <c r="Z160" s="14">
        <f>IF(E152=$B152,Pesos!$L$5,0)</f>
        <v>0</v>
      </c>
      <c r="AA160" s="14">
        <f>IF(F152=$B152,Pesos!$L$5,0)</f>
        <v>0</v>
      </c>
      <c r="AB160" s="14">
        <f>IF(G152=$B152,Pesos!$L$5,0)</f>
        <v>0</v>
      </c>
      <c r="AC160" s="14">
        <f>IF(H152=$B152,Pesos!$L$5,0)</f>
        <v>0</v>
      </c>
      <c r="AD160" s="14">
        <f>IF(I152=$B152,Pesos!$L$5,0)</f>
        <v>0</v>
      </c>
      <c r="AE160" s="14">
        <f>IF(J152=$B152,Pesos!$L$5,0)</f>
        <v>0</v>
      </c>
      <c r="AF160" s="14">
        <f>IF(K152=$B152,Pesos!$L$5,0)</f>
        <v>0</v>
      </c>
      <c r="AG160" s="14">
        <f>IF(L152=$B152,Pesos!$L$5,0)</f>
        <v>0</v>
      </c>
      <c r="AH160" s="14">
        <f>IF(M152=$B152,Pesos!$L$5,0)</f>
        <v>0</v>
      </c>
      <c r="AI160" s="14">
        <f>IF(N152=$B152,Pesos!$L$5,0)</f>
        <v>0</v>
      </c>
      <c r="AJ160" s="14">
        <f>IF(O152=$B152,Pesos!$L$5,0)</f>
        <v>0</v>
      </c>
      <c r="AK160" s="14">
        <f>IF(P152=$B152,Pesos!$L$5,0)</f>
        <v>0</v>
      </c>
      <c r="AL160" s="14">
        <f>IF(Q152=$B152,Pesos!$L$5,0)</f>
        <v>0</v>
      </c>
      <c r="AM160" s="14">
        <f>IF(R152=$B152,Pesos!$L$5,0)</f>
        <v>2</v>
      </c>
      <c r="AN160" s="14">
        <f>IF(S152=$B152,Pesos!$L$5,0)</f>
        <v>0</v>
      </c>
      <c r="AO160" s="14">
        <f>IF(T152=$B152,Pesos!$L$5,0)</f>
        <v>0</v>
      </c>
      <c r="AP160" s="14">
        <f>IF(U152=$B152,Pesos!$L$5,0)</f>
        <v>0</v>
      </c>
      <c r="AQ160" s="14">
        <f>IF(V152=$B152,Pesos!$L$5,0)</f>
        <v>0</v>
      </c>
      <c r="AR160" s="14">
        <f>IF(W152=$B152,Pesos!$L$5,0)</f>
        <v>0</v>
      </c>
    </row>
    <row r="161" ht="12.75" customHeight="1">
      <c r="A161" s="1" t="s">
        <v>26</v>
      </c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4">
        <f>IF(C153=$B153,Pesos!$L$5,0)</f>
        <v>0</v>
      </c>
      <c r="Y161" s="14">
        <f>IF(D153=$B153,Pesos!$L$5,0)</f>
        <v>0</v>
      </c>
      <c r="Z161" s="14">
        <f>IF(E153=$B153,Pesos!$L$5,0)</f>
        <v>2</v>
      </c>
      <c r="AA161" s="14">
        <f>IF(F153=$B153,Pesos!$L$5,0)</f>
        <v>0</v>
      </c>
      <c r="AB161" s="14">
        <f>IF(G153=$B153,Pesos!$L$5,0)</f>
        <v>2</v>
      </c>
      <c r="AC161" s="14">
        <f>IF(H153=$B153,Pesos!$L$5,0)</f>
        <v>0</v>
      </c>
      <c r="AD161" s="14">
        <f>IF(I153=$B153,Pesos!$L$5,0)</f>
        <v>0</v>
      </c>
      <c r="AE161" s="14">
        <f>IF(J153=$B153,Pesos!$L$5,0)</f>
        <v>0</v>
      </c>
      <c r="AF161" s="14">
        <f>IF(K153=$B153,Pesos!$L$5,0)</f>
        <v>0</v>
      </c>
      <c r="AG161" s="14">
        <f>IF(L153=$B153,Pesos!$L$5,0)</f>
        <v>0</v>
      </c>
      <c r="AH161" s="14">
        <f>IF(M153=$B153,Pesos!$L$5,0)</f>
        <v>0</v>
      </c>
      <c r="AI161" s="14">
        <f>IF(N153=$B153,Pesos!$L$5,0)</f>
        <v>0</v>
      </c>
      <c r="AJ161" s="14">
        <f>IF(O153=$B153,Pesos!$L$5,0)</f>
        <v>0</v>
      </c>
      <c r="AK161" s="14">
        <f>IF(P153=$B153,Pesos!$L$5,0)</f>
        <v>2</v>
      </c>
      <c r="AL161" s="14">
        <f>IF(Q153=$B153,Pesos!$L$5,0)</f>
        <v>0</v>
      </c>
      <c r="AM161" s="14">
        <f>IF(R153=$B153,Pesos!$L$5,0)</f>
        <v>2</v>
      </c>
      <c r="AN161" s="14">
        <f>IF(S153=$B153,Pesos!$L$5,0)</f>
        <v>0</v>
      </c>
      <c r="AO161" s="14">
        <f>IF(T153=$B153,Pesos!$L$5,0)</f>
        <v>0</v>
      </c>
      <c r="AP161" s="14">
        <f>IF(U153=$B153,Pesos!$L$5,0)</f>
        <v>0</v>
      </c>
      <c r="AQ161" s="14">
        <f>IF(V153=$B153,Pesos!$L$5,0)</f>
        <v>0</v>
      </c>
      <c r="AR161" s="14">
        <f>IF(W153=$B153,Pesos!$L$5,0)</f>
        <v>0</v>
      </c>
    </row>
    <row r="162" ht="12.75" customHeight="1">
      <c r="A162" s="1" t="s">
        <v>27</v>
      </c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4">
        <f>IF(C154=$B154,Pesos!$L$5,0)</f>
        <v>0</v>
      </c>
      <c r="Y162" s="14">
        <f>IF(D154=$B154,Pesos!$L$5,0)</f>
        <v>0</v>
      </c>
      <c r="Z162" s="14">
        <f>IF(E154=$B154,Pesos!$L$5,0)</f>
        <v>0</v>
      </c>
      <c r="AA162" s="14">
        <f>IF(F154=$B154,Pesos!$L$5,0)</f>
        <v>0</v>
      </c>
      <c r="AB162" s="14">
        <f>IF(G154=$B154,Pesos!$L$5,0)</f>
        <v>0</v>
      </c>
      <c r="AC162" s="14">
        <f>IF(H154=$B154,Pesos!$L$5,0)</f>
        <v>0</v>
      </c>
      <c r="AD162" s="14">
        <f>IF(I154=$B154,Pesos!$L$5,0)</f>
        <v>0</v>
      </c>
      <c r="AE162" s="14">
        <f>IF(J154=$B154,Pesos!$L$5,0)</f>
        <v>0</v>
      </c>
      <c r="AF162" s="14">
        <f>IF(K154=$B154,Pesos!$L$5,0)</f>
        <v>0</v>
      </c>
      <c r="AG162" s="14">
        <f>IF(L154=$B154,Pesos!$L$5,0)</f>
        <v>0</v>
      </c>
      <c r="AH162" s="14">
        <f>IF(M154=$B154,Pesos!$L$5,0)</f>
        <v>0</v>
      </c>
      <c r="AI162" s="14">
        <f>IF(N154=$B154,Pesos!$L$5,0)</f>
        <v>0</v>
      </c>
      <c r="AJ162" s="14">
        <f>IF(O154=$B154,Pesos!$L$5,0)</f>
        <v>0</v>
      </c>
      <c r="AK162" s="14">
        <f>IF(P154=$B154,Pesos!$L$5,0)</f>
        <v>0</v>
      </c>
      <c r="AL162" s="14">
        <f>IF(Q154=$B154,Pesos!$L$5,0)</f>
        <v>0</v>
      </c>
      <c r="AM162" s="14">
        <f>IF(R154=$B154,Pesos!$L$5,0)</f>
        <v>0</v>
      </c>
      <c r="AN162" s="14">
        <f>IF(S154=$B154,Pesos!$L$5,0)</f>
        <v>0</v>
      </c>
      <c r="AO162" s="14">
        <f>IF(T154=$B154,Pesos!$L$5,0)</f>
        <v>0</v>
      </c>
      <c r="AP162" s="14">
        <f>IF(U154=$B154,Pesos!$L$5,0)</f>
        <v>0</v>
      </c>
      <c r="AQ162" s="14">
        <f>IF(V154=$B154,Pesos!$L$5,0)</f>
        <v>0</v>
      </c>
      <c r="AR162" s="14">
        <f>IF(W154=$B154,Pesos!$L$5,0)</f>
        <v>0</v>
      </c>
    </row>
    <row r="163" ht="12.75" customHeight="1">
      <c r="A163" s="1" t="s">
        <v>28</v>
      </c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4">
        <f>IF(C155=$B155,Pesos!$L$5,0)</f>
        <v>0</v>
      </c>
      <c r="Y163" s="14">
        <f>IF(D155=$B155,Pesos!$L$5,0)</f>
        <v>0</v>
      </c>
      <c r="Z163" s="14">
        <f>IF(E155=$B155,Pesos!$L$5,0)</f>
        <v>0</v>
      </c>
      <c r="AA163" s="14">
        <f>IF(F155=$B155,Pesos!$L$5,0)</f>
        <v>0</v>
      </c>
      <c r="AB163" s="14">
        <f>IF(G155=$B155,Pesos!$L$5,0)</f>
        <v>0</v>
      </c>
      <c r="AC163" s="14">
        <f>IF(H155=$B155,Pesos!$L$5,0)</f>
        <v>0</v>
      </c>
      <c r="AD163" s="14">
        <f>IF(I155=$B155,Pesos!$L$5,0)</f>
        <v>0</v>
      </c>
      <c r="AE163" s="14">
        <f>IF(J155=$B155,Pesos!$L$5,0)</f>
        <v>0</v>
      </c>
      <c r="AF163" s="14">
        <f>IF(K155=$B155,Pesos!$L$5,0)</f>
        <v>0</v>
      </c>
      <c r="AG163" s="14">
        <f>IF(L155=$B155,Pesos!$L$5,0)</f>
        <v>0</v>
      </c>
      <c r="AH163" s="14">
        <f>IF(M155=$B155,Pesos!$L$5,0)</f>
        <v>0</v>
      </c>
      <c r="AI163" s="14">
        <f>IF(N155=$B155,Pesos!$L$5,0)</f>
        <v>0</v>
      </c>
      <c r="AJ163" s="14">
        <f>IF(O155=$B155,Pesos!$L$5,0)</f>
        <v>0</v>
      </c>
      <c r="AK163" s="14">
        <f>IF(P155=$B155,Pesos!$L$5,0)</f>
        <v>0</v>
      </c>
      <c r="AL163" s="14">
        <f>IF(Q155=$B155,Pesos!$L$5,0)</f>
        <v>0</v>
      </c>
      <c r="AM163" s="14">
        <f>IF(R155=$B155,Pesos!$L$5,0)</f>
        <v>2</v>
      </c>
      <c r="AN163" s="14">
        <f>IF(S155=$B155,Pesos!$L$5,0)</f>
        <v>0</v>
      </c>
      <c r="AO163" s="14">
        <f>IF(T155=$B155,Pesos!$L$5,0)</f>
        <v>2</v>
      </c>
      <c r="AP163" s="14">
        <f>IF(U155=$B155,Pesos!$L$5,0)</f>
        <v>0</v>
      </c>
      <c r="AQ163" s="14">
        <f>IF(V155=$B155,Pesos!$L$5,0)</f>
        <v>0</v>
      </c>
      <c r="AR163" s="14">
        <f>IF(W155=$B155,Pesos!$L$5,0)</f>
        <v>0</v>
      </c>
    </row>
    <row r="164" ht="12.75" customHeight="1">
      <c r="A164" s="1" t="s">
        <v>29</v>
      </c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4">
        <f>IF(C156=$B156,Pesos!$L$5,0)</f>
        <v>0</v>
      </c>
      <c r="Y164" s="14">
        <f>IF(D156=$B156,Pesos!$L$5,0)</f>
        <v>2</v>
      </c>
      <c r="Z164" s="14">
        <f>IF(E156=$B156,Pesos!$L$5,0)</f>
        <v>0</v>
      </c>
      <c r="AA164" s="14">
        <f>IF(F156=$B156,Pesos!$L$5,0)</f>
        <v>0</v>
      </c>
      <c r="AB164" s="14">
        <f>IF(G156=$B156,Pesos!$L$5,0)</f>
        <v>0</v>
      </c>
      <c r="AC164" s="14">
        <f>IF(H156=$B156,Pesos!$L$5,0)</f>
        <v>0</v>
      </c>
      <c r="AD164" s="14">
        <f>IF(I156=$B156,Pesos!$L$5,0)</f>
        <v>0</v>
      </c>
      <c r="AE164" s="14">
        <f>IF(J156=$B156,Pesos!$L$5,0)</f>
        <v>0</v>
      </c>
      <c r="AF164" s="14">
        <f>IF(K156=$B156,Pesos!$L$5,0)</f>
        <v>0</v>
      </c>
      <c r="AG164" s="14">
        <f>IF(L156=$B156,Pesos!$L$5,0)</f>
        <v>0</v>
      </c>
      <c r="AH164" s="14">
        <f>IF(M156=$B156,Pesos!$L$5,0)</f>
        <v>0</v>
      </c>
      <c r="AI164" s="14">
        <f>IF(N156=$B156,Pesos!$L$5,0)</f>
        <v>0</v>
      </c>
      <c r="AJ164" s="14">
        <f>IF(O156=$B156,Pesos!$L$5,0)</f>
        <v>0</v>
      </c>
      <c r="AK164" s="14">
        <f>IF(P156=$B156,Pesos!$L$5,0)</f>
        <v>2</v>
      </c>
      <c r="AL164" s="14">
        <f>IF(Q156=$B156,Pesos!$L$5,0)</f>
        <v>0</v>
      </c>
      <c r="AM164" s="14">
        <f>IF(R156=$B156,Pesos!$L$5,0)</f>
        <v>0</v>
      </c>
      <c r="AN164" s="14">
        <f>IF(S156=$B156,Pesos!$L$5,0)</f>
        <v>2</v>
      </c>
      <c r="AO164" s="14">
        <f>IF(T156=$B156,Pesos!$L$5,0)</f>
        <v>2</v>
      </c>
      <c r="AP164" s="14">
        <f>IF(U156=$B156,Pesos!$L$5,0)</f>
        <v>0</v>
      </c>
      <c r="AQ164" s="14">
        <f>IF(V156=$B156,Pesos!$L$5,0)</f>
        <v>0</v>
      </c>
      <c r="AR164" s="14">
        <f>IF(W156=$B156,Pesos!$L$5,0)</f>
        <v>0</v>
      </c>
    </row>
    <row r="165" ht="12.75" customHeight="1">
      <c r="A165" s="1" t="s">
        <v>30</v>
      </c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4">
        <f>IF(C157=$B157,Pesos!$L$5,0)</f>
        <v>0</v>
      </c>
      <c r="Y165" s="14">
        <f>IF(D157=$B157,Pesos!$L$5,0)</f>
        <v>0</v>
      </c>
      <c r="Z165" s="14">
        <f>IF(E157=$B157,Pesos!$L$5,0)</f>
        <v>0</v>
      </c>
      <c r="AA165" s="14">
        <f>IF(F157=$B157,Pesos!$L$5,0)</f>
        <v>0</v>
      </c>
      <c r="AB165" s="14">
        <f>IF(G157=$B157,Pesos!$L$5,0)</f>
        <v>0</v>
      </c>
      <c r="AC165" s="14">
        <f>IF(H157=$B157,Pesos!$L$5,0)</f>
        <v>0</v>
      </c>
      <c r="AD165" s="14">
        <f>IF(I157=$B157,Pesos!$L$5,0)</f>
        <v>0</v>
      </c>
      <c r="AE165" s="14">
        <f>IF(J157=$B157,Pesos!$L$5,0)</f>
        <v>0</v>
      </c>
      <c r="AF165" s="14">
        <f>IF(K157=$B157,Pesos!$L$5,0)</f>
        <v>0</v>
      </c>
      <c r="AG165" s="14">
        <f>IF(L157=$B157,Pesos!$L$5,0)</f>
        <v>0</v>
      </c>
      <c r="AH165" s="14">
        <f>IF(M157=$B157,Pesos!$L$5,0)</f>
        <v>0</v>
      </c>
      <c r="AI165" s="14">
        <f>IF(N157=$B157,Pesos!$L$5,0)</f>
        <v>0</v>
      </c>
      <c r="AJ165" s="14">
        <f>IF(O157=$B157,Pesos!$L$5,0)</f>
        <v>0</v>
      </c>
      <c r="AK165" s="14">
        <f>IF(P157=$B157,Pesos!$L$5,0)</f>
        <v>0</v>
      </c>
      <c r="AL165" s="14">
        <f>IF(Q157=$B157,Pesos!$L$5,0)</f>
        <v>0</v>
      </c>
      <c r="AM165" s="14">
        <f>IF(R157=$B157,Pesos!$L$5,0)</f>
        <v>0</v>
      </c>
      <c r="AN165" s="14">
        <f>IF(S157=$B157,Pesos!$L$5,0)</f>
        <v>0</v>
      </c>
      <c r="AO165" s="14">
        <f>IF(T157=$B157,Pesos!$L$5,0)</f>
        <v>0</v>
      </c>
      <c r="AP165" s="14">
        <f>IF(U157=$B157,Pesos!$L$5,0)</f>
        <v>0</v>
      </c>
      <c r="AQ165" s="14">
        <f>IF(V157=$B157,Pesos!$L$5,0)</f>
        <v>0</v>
      </c>
      <c r="AR165" s="14">
        <f>IF(W157=$B157,Pesos!$L$5,0)</f>
        <v>0</v>
      </c>
    </row>
    <row r="166" ht="12.75" customHeight="1">
      <c r="A166" s="1" t="s">
        <v>31</v>
      </c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4">
        <f>IF(C158=$B158,Pesos!$L$5,0)</f>
        <v>0</v>
      </c>
      <c r="Y166" s="14">
        <f>IF(D158=$B158,Pesos!$L$5,0)</f>
        <v>0</v>
      </c>
      <c r="Z166" s="14">
        <f>IF(E158=$B158,Pesos!$L$5,0)</f>
        <v>0</v>
      </c>
      <c r="AA166" s="14">
        <f>IF(F158=$B158,Pesos!$L$5,0)</f>
        <v>0</v>
      </c>
      <c r="AB166" s="14">
        <f>IF(G158=$B158,Pesos!$L$5,0)</f>
        <v>0</v>
      </c>
      <c r="AC166" s="14">
        <f>IF(H158=$B158,Pesos!$L$5,0)</f>
        <v>0</v>
      </c>
      <c r="AD166" s="14">
        <f>IF(I158=$B158,Pesos!$L$5,0)</f>
        <v>2</v>
      </c>
      <c r="AE166" s="14">
        <f>IF(J158=$B158,Pesos!$L$5,0)</f>
        <v>2</v>
      </c>
      <c r="AF166" s="14">
        <f>IF(K158=$B158,Pesos!$L$5,0)</f>
        <v>0</v>
      </c>
      <c r="AG166" s="14">
        <f>IF(L158=$B158,Pesos!$L$5,0)</f>
        <v>0</v>
      </c>
      <c r="AH166" s="14">
        <f>IF(M158=$B158,Pesos!$L$5,0)</f>
        <v>0</v>
      </c>
      <c r="AI166" s="14">
        <f>IF(N158=$B158,Pesos!$L$5,0)</f>
        <v>0</v>
      </c>
      <c r="AJ166" s="14">
        <f>IF(O158=$B158,Pesos!$L$5,0)</f>
        <v>0</v>
      </c>
      <c r="AK166" s="14">
        <f>IF(P158=$B158,Pesos!$L$5,0)</f>
        <v>0</v>
      </c>
      <c r="AL166" s="14">
        <f>IF(Q158=$B158,Pesos!$L$5,0)</f>
        <v>2</v>
      </c>
      <c r="AM166" s="14">
        <f>IF(R158=$B158,Pesos!$L$5,0)</f>
        <v>0</v>
      </c>
      <c r="AN166" s="14">
        <f>IF(S158=$B158,Pesos!$L$5,0)</f>
        <v>0</v>
      </c>
      <c r="AO166" s="14">
        <f>IF(T158=$B158,Pesos!$L$5,0)</f>
        <v>0</v>
      </c>
      <c r="AP166" s="14">
        <f>IF(U158=$B158,Pesos!$L$5,0)</f>
        <v>0</v>
      </c>
      <c r="AQ166" s="14">
        <f>IF(V158=$B158,Pesos!$L$5,0)</f>
        <v>0</v>
      </c>
      <c r="AR166" s="14">
        <f>IF(W158=$B158,Pesos!$L$5,0)</f>
        <v>0</v>
      </c>
    </row>
    <row r="167" ht="12.75" customHeight="1">
      <c r="A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2.75" customHeight="1">
      <c r="A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2.75" customHeight="1">
      <c r="A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2.75" customHeight="1">
      <c r="A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2.75" customHeight="1">
      <c r="A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2.75" customHeight="1">
      <c r="A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2.75" customHeight="1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2.75" customHeight="1">
      <c r="A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2.75" customHeight="1">
      <c r="A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2.75" customHeight="1">
      <c r="A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2.75" customHeight="1">
      <c r="A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2.75" customHeight="1">
      <c r="A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2.75" customHeight="1">
      <c r="A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2.75" customHeight="1">
      <c r="A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2.75" customHeight="1">
      <c r="A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2.75" customHeight="1">
      <c r="A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2.75" customHeight="1">
      <c r="A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2.75" customHeight="1">
      <c r="A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2.75" customHeight="1">
      <c r="A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2.75" customHeight="1">
      <c r="A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2.75" customHeight="1">
      <c r="A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2.75" customHeight="1">
      <c r="A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2.75" customHeight="1">
      <c r="A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2.75" customHeight="1">
      <c r="A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2.75" customHeight="1">
      <c r="A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2.75" customHeight="1">
      <c r="A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2.75" customHeight="1">
      <c r="A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2.75" customHeight="1">
      <c r="A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2.75" customHeight="1">
      <c r="A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2.75" customHeight="1">
      <c r="A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2.75" customHeight="1">
      <c r="A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2.75" customHeight="1">
      <c r="A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2.75" customHeight="1">
      <c r="A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2.75" customHeight="1">
      <c r="A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2.75" customHeight="1">
      <c r="A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2.75" customHeight="1">
      <c r="A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2.75" customHeight="1">
      <c r="A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2.75" customHeight="1">
      <c r="A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2.75" customHeight="1">
      <c r="A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2.75" customHeight="1">
      <c r="A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2.75" customHeight="1">
      <c r="A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2.75" customHeight="1">
      <c r="A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2.75" customHeight="1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2.75" customHeight="1">
      <c r="A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2.75" customHeight="1">
      <c r="A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2.75" customHeight="1">
      <c r="A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2.75" customHeight="1">
      <c r="A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2.75" customHeight="1">
      <c r="A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2.75" customHeight="1">
      <c r="A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2.75" customHeight="1">
      <c r="A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2.75" customHeight="1">
      <c r="A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2.75" customHeight="1">
      <c r="A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2.75" customHeight="1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2.75" customHeight="1">
      <c r="A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2.75" customHeight="1">
      <c r="A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2.75" customHeight="1">
      <c r="A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2.75" customHeight="1">
      <c r="A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2.75" customHeight="1">
      <c r="A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2.75" customHeight="1">
      <c r="A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2.75" customHeight="1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2.75" customHeight="1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2.75" customHeight="1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2.75" customHeight="1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2.75" customHeight="1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2.75" customHeight="1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2.75" customHeight="1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2.75" customHeight="1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2.75" customHeight="1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2.75" customHeight="1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2.75" customHeight="1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2.75" customHeight="1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2.75" customHeight="1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2.75" customHeight="1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2.75" customHeight="1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2.75" customHeight="1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2.75" customHeight="1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2.75" customHeight="1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2.75" customHeight="1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2.75" customHeight="1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2.75" customHeight="1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2.75" customHeight="1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2.75" customHeight="1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2.75" customHeight="1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2.75" customHeight="1">
      <c r="A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2.75" customHeight="1">
      <c r="A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2.75" customHeight="1">
      <c r="A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2.75" customHeight="1">
      <c r="A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2.75" customHeight="1">
      <c r="A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2.75" customHeight="1">
      <c r="A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2.75" customHeight="1">
      <c r="A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2.75" customHeight="1">
      <c r="A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2.75" customHeight="1">
      <c r="A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2.75" customHeight="1">
      <c r="A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2.75" customHeight="1">
      <c r="A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2.75" customHeight="1">
      <c r="A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2.75" customHeight="1">
      <c r="A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2.75" customHeight="1">
      <c r="A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2.75" customHeight="1">
      <c r="A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2.75" customHeight="1">
      <c r="A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2.75" customHeight="1">
      <c r="A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2.75" customHeight="1">
      <c r="A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2.75" customHeight="1">
      <c r="A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2.75" customHeight="1">
      <c r="A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2.75" customHeight="1">
      <c r="A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2.75" customHeight="1">
      <c r="A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2.75" customHeight="1">
      <c r="A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2.75" customHeight="1">
      <c r="A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2.75" customHeight="1">
      <c r="A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2.75" customHeight="1">
      <c r="A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2.75" customHeight="1">
      <c r="A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2.75" customHeight="1">
      <c r="A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2.75" customHeight="1">
      <c r="A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2.75" customHeight="1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2.75" customHeight="1">
      <c r="A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2.75" customHeight="1">
      <c r="A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2.75" customHeight="1">
      <c r="A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2.75" customHeight="1">
      <c r="A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2.75" customHeight="1">
      <c r="A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2.75" customHeight="1">
      <c r="A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2.75" customHeight="1">
      <c r="A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2.75" customHeight="1">
      <c r="A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2.75" customHeight="1">
      <c r="A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2.75" customHeight="1">
      <c r="A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2.75" customHeight="1">
      <c r="A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2.75" customHeight="1">
      <c r="A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2.75" customHeight="1">
      <c r="A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2.75" customHeight="1">
      <c r="A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2.75" customHeight="1">
      <c r="A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2.75" customHeight="1">
      <c r="A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2.75" customHeight="1">
      <c r="A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2.75" customHeight="1">
      <c r="A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2.75" customHeight="1">
      <c r="A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2.75" customHeight="1">
      <c r="A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2.75" customHeight="1">
      <c r="A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2.75" customHeight="1">
      <c r="A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2.75" customHeight="1">
      <c r="A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2.75" customHeight="1">
      <c r="A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2.75" customHeight="1">
      <c r="A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2.75" customHeight="1">
      <c r="A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2.75" customHeight="1">
      <c r="A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2.75" customHeight="1">
      <c r="A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2.75" customHeight="1">
      <c r="A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2.75" customHeight="1">
      <c r="A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2.75" customHeight="1">
      <c r="A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2.75" customHeight="1">
      <c r="A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2.75" customHeight="1">
      <c r="A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2.75" customHeight="1">
      <c r="A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2.75" customHeight="1">
      <c r="A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2.75" customHeight="1">
      <c r="A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2.75" customHeight="1">
      <c r="A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2.75" customHeight="1">
      <c r="A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2.75" customHeight="1">
      <c r="A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2.75" customHeight="1">
      <c r="A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2.75" customHeight="1">
      <c r="A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2.75" customHeight="1">
      <c r="A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2.75" customHeight="1">
      <c r="A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2.75" customHeight="1">
      <c r="A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2.75" customHeight="1">
      <c r="A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2.75" customHeight="1">
      <c r="A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2.75" customHeight="1">
      <c r="A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2.75" customHeight="1">
      <c r="A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2.75" customHeight="1">
      <c r="A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2.75" customHeight="1">
      <c r="A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2.75" customHeight="1">
      <c r="A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2.75" customHeight="1">
      <c r="A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2.75" customHeight="1">
      <c r="A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2.75" customHeight="1">
      <c r="A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2.75" customHeight="1">
      <c r="A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2.75" customHeight="1">
      <c r="A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2.75" customHeight="1">
      <c r="A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2.75" customHeight="1">
      <c r="A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2.75" customHeight="1">
      <c r="A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2.75" customHeight="1">
      <c r="A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2.75" customHeight="1">
      <c r="A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2.75" customHeight="1">
      <c r="A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2.75" customHeight="1">
      <c r="A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2.75" customHeight="1">
      <c r="A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2.75" customHeight="1">
      <c r="A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2.75" customHeight="1">
      <c r="A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2.75" customHeight="1">
      <c r="A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2.75" customHeight="1">
      <c r="A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2.75" customHeight="1">
      <c r="A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2.75" customHeight="1">
      <c r="A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2.75" customHeight="1">
      <c r="A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2.75" customHeight="1">
      <c r="A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2.75" customHeight="1">
      <c r="A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2.75" customHeight="1">
      <c r="A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2.75" customHeight="1">
      <c r="A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2.75" customHeight="1">
      <c r="A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2.75" customHeight="1">
      <c r="A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2.75" customHeight="1">
      <c r="A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2.75" customHeight="1">
      <c r="A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2.75" customHeight="1">
      <c r="A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2.75" customHeight="1">
      <c r="A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2.75" customHeight="1">
      <c r="A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2.75" customHeight="1">
      <c r="A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2.75" customHeight="1">
      <c r="A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2.75" customHeight="1">
      <c r="A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2.75" customHeight="1">
      <c r="A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2.75" customHeight="1">
      <c r="A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2.75" customHeight="1">
      <c r="A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2.75" customHeight="1">
      <c r="A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2.75" customHeight="1">
      <c r="A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2.75" customHeight="1">
      <c r="A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2.75" customHeight="1">
      <c r="A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2.75" customHeight="1">
      <c r="A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2.75" customHeight="1">
      <c r="A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2.75" customHeight="1">
      <c r="A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2.75" customHeight="1">
      <c r="A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2.75" customHeight="1">
      <c r="A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2.75" customHeight="1">
      <c r="A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2.75" customHeight="1">
      <c r="A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2.75" customHeight="1">
      <c r="A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2.75" customHeight="1">
      <c r="A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2.75" customHeight="1">
      <c r="A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2.75" customHeight="1">
      <c r="A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2.75" customHeight="1">
      <c r="A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2.75" customHeight="1">
      <c r="A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2.75" customHeight="1">
      <c r="A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2.75" customHeight="1">
      <c r="A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2.75" customHeight="1">
      <c r="A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2.75" customHeight="1">
      <c r="A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2.75" customHeight="1">
      <c r="A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2.75" customHeight="1">
      <c r="A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2.75" customHeight="1">
      <c r="A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2.75" customHeight="1">
      <c r="A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2.75" customHeight="1">
      <c r="A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2.75" customHeight="1">
      <c r="A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2.75" customHeight="1">
      <c r="A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2.75" customHeight="1">
      <c r="A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2.75" customHeight="1">
      <c r="A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2.75" customHeight="1">
      <c r="A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2.75" customHeight="1">
      <c r="A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2.75" customHeight="1">
      <c r="A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2.75" customHeight="1">
      <c r="A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2.75" customHeight="1">
      <c r="A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2.75" customHeight="1">
      <c r="A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2.75" customHeight="1">
      <c r="A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2.75" customHeight="1">
      <c r="A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2.75" customHeight="1">
      <c r="A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2.75" customHeight="1">
      <c r="A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2.75" customHeight="1">
      <c r="A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2.75" customHeight="1">
      <c r="A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2.75" customHeight="1">
      <c r="A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2.75" customHeight="1">
      <c r="A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2.75" customHeight="1">
      <c r="A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2.75" customHeight="1">
      <c r="A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2.75" customHeight="1">
      <c r="A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2.75" customHeight="1">
      <c r="A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2.75" customHeight="1">
      <c r="A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2.75" customHeight="1">
      <c r="A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2.75" customHeight="1">
      <c r="A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2.75" customHeight="1">
      <c r="A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2.75" customHeight="1">
      <c r="A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2.75" customHeight="1">
      <c r="A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2.75" customHeight="1">
      <c r="A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2.75" customHeight="1">
      <c r="A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2.75" customHeight="1">
      <c r="A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2.75" customHeight="1">
      <c r="A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2.75" customHeight="1">
      <c r="A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2.75" customHeight="1">
      <c r="A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2.75" customHeight="1">
      <c r="A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2.75" customHeight="1">
      <c r="A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2.75" customHeight="1">
      <c r="A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2.75" customHeight="1">
      <c r="A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2.75" customHeight="1">
      <c r="A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2.75" customHeight="1">
      <c r="A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2.75" customHeight="1">
      <c r="A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2.75" customHeight="1">
      <c r="A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2.75" customHeight="1">
      <c r="A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2.75" customHeight="1">
      <c r="A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2.75" customHeight="1">
      <c r="A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2.75" customHeight="1">
      <c r="A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2.75" customHeight="1">
      <c r="A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2.75" customHeight="1">
      <c r="A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2.75" customHeight="1">
      <c r="A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2.75" customHeight="1">
      <c r="A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2.75" customHeight="1">
      <c r="A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2.75" customHeight="1">
      <c r="A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2.75" customHeight="1">
      <c r="A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2.75" customHeight="1">
      <c r="A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2.75" customHeight="1">
      <c r="A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2.75" customHeight="1">
      <c r="A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2.75" customHeight="1">
      <c r="A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2.75" customHeight="1">
      <c r="A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2.75" customHeight="1">
      <c r="A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2.75" customHeight="1">
      <c r="A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2.75" customHeight="1">
      <c r="A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2.75" customHeight="1">
      <c r="A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2.75" customHeight="1">
      <c r="A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2.75" customHeight="1">
      <c r="A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2.75" customHeight="1">
      <c r="A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2.75" customHeight="1">
      <c r="A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2.75" customHeight="1">
      <c r="A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2.75" customHeight="1">
      <c r="A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2.75" customHeight="1">
      <c r="A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2.75" customHeight="1">
      <c r="A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2.75" customHeight="1">
      <c r="A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2.75" customHeight="1">
      <c r="A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2.75" customHeight="1">
      <c r="A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2.75" customHeight="1">
      <c r="A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2.75" customHeight="1">
      <c r="A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2.75" customHeight="1">
      <c r="A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2.75" customHeight="1">
      <c r="A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2.75" customHeight="1">
      <c r="A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2.75" customHeight="1">
      <c r="A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2.75" customHeight="1">
      <c r="A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2.75" customHeight="1">
      <c r="A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2.75" customHeight="1">
      <c r="A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2.75" customHeight="1">
      <c r="A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2.75" customHeight="1">
      <c r="A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2.75" customHeight="1">
      <c r="A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2.75" customHeight="1">
      <c r="A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2.75" customHeight="1">
      <c r="A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2.75" customHeight="1">
      <c r="A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2.75" customHeight="1">
      <c r="A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2.75" customHeight="1">
      <c r="A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2.75" customHeight="1">
      <c r="A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2.75" customHeight="1">
      <c r="A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2.75" customHeight="1">
      <c r="A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2.75" customHeight="1">
      <c r="A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2.75" customHeight="1">
      <c r="A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2.75" customHeight="1">
      <c r="A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2.75" customHeight="1">
      <c r="A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2.75" customHeight="1">
      <c r="A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2.75" customHeight="1">
      <c r="A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2.75" customHeight="1">
      <c r="A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2.75" customHeight="1">
      <c r="A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2.75" customHeight="1">
      <c r="A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2.75" customHeight="1">
      <c r="A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2.75" customHeight="1">
      <c r="A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2.75" customHeight="1">
      <c r="A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2.75" customHeight="1">
      <c r="A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2.75" customHeight="1">
      <c r="A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2.75" customHeight="1">
      <c r="A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2.75" customHeight="1">
      <c r="A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2.75" customHeight="1">
      <c r="A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2.75" customHeight="1">
      <c r="A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2.75" customHeight="1">
      <c r="A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2.75" customHeight="1">
      <c r="A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2.75" customHeight="1">
      <c r="A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2.75" customHeight="1">
      <c r="A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2.75" customHeight="1">
      <c r="A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2.75" customHeight="1">
      <c r="A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2.75" customHeight="1">
      <c r="A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2.75" customHeight="1">
      <c r="A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2.75" customHeight="1">
      <c r="A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2.75" customHeight="1">
      <c r="A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2.75" customHeight="1">
      <c r="A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2.75" customHeight="1">
      <c r="A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2.75" customHeight="1">
      <c r="A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2.75" customHeight="1">
      <c r="A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2.75" customHeight="1">
      <c r="A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2.75" customHeight="1">
      <c r="A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2.75" customHeight="1">
      <c r="A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2.75" customHeight="1">
      <c r="A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2.75" customHeight="1">
      <c r="A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2.75" customHeight="1">
      <c r="A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2.75" customHeight="1">
      <c r="A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2.75" customHeight="1">
      <c r="A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2.75" customHeight="1">
      <c r="A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2.75" customHeight="1">
      <c r="A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2.75" customHeight="1">
      <c r="A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2.75" customHeight="1">
      <c r="A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2.75" customHeight="1">
      <c r="A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2.75" customHeight="1">
      <c r="A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2.75" customHeight="1">
      <c r="A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2.75" customHeight="1">
      <c r="A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2.75" customHeight="1">
      <c r="A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2.75" customHeight="1">
      <c r="A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2.75" customHeight="1">
      <c r="A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2.75" customHeight="1">
      <c r="A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2.75" customHeight="1">
      <c r="A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2.75" customHeight="1">
      <c r="A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2.75" customHeight="1">
      <c r="A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2.75" customHeight="1">
      <c r="A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2.75" customHeight="1">
      <c r="A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2.75" customHeight="1">
      <c r="A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2.75" customHeight="1">
      <c r="A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2.75" customHeight="1">
      <c r="A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2.75" customHeight="1">
      <c r="A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2.75" customHeight="1">
      <c r="A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2.75" customHeight="1">
      <c r="A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2.75" customHeight="1">
      <c r="A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2.75" customHeight="1">
      <c r="A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2.75" customHeight="1">
      <c r="A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2.75" customHeight="1">
      <c r="A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2.75" customHeight="1">
      <c r="A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2.75" customHeight="1">
      <c r="A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2.75" customHeight="1">
      <c r="A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2.75" customHeight="1">
      <c r="A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2.75" customHeight="1">
      <c r="A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2.75" customHeight="1">
      <c r="A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2.75" customHeight="1">
      <c r="A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2.75" customHeight="1">
      <c r="A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2.75" customHeight="1">
      <c r="A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2.75" customHeight="1">
      <c r="A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2.75" customHeight="1">
      <c r="A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2.75" customHeight="1">
      <c r="A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2.75" customHeight="1">
      <c r="A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2.75" customHeight="1">
      <c r="A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2.75" customHeight="1">
      <c r="A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2.75" customHeight="1">
      <c r="A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2.75" customHeight="1">
      <c r="A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2.75" customHeight="1">
      <c r="A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2.75" customHeight="1">
      <c r="A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2.75" customHeight="1">
      <c r="A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2.75" customHeight="1">
      <c r="A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2.75" customHeight="1">
      <c r="A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2.75" customHeight="1">
      <c r="A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2.75" customHeight="1">
      <c r="A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2.75" customHeight="1">
      <c r="A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2.75" customHeight="1">
      <c r="A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2.75" customHeight="1">
      <c r="A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2.75" customHeight="1">
      <c r="A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2.75" customHeight="1">
      <c r="A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2.75" customHeight="1">
      <c r="A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2.75" customHeight="1">
      <c r="A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2.75" customHeight="1">
      <c r="A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2.75" customHeight="1">
      <c r="A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2.75" customHeight="1">
      <c r="A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2.75" customHeight="1">
      <c r="A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2.75" customHeight="1">
      <c r="A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2.75" customHeight="1">
      <c r="A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2.75" customHeight="1">
      <c r="A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2.75" customHeight="1">
      <c r="A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2.75" customHeight="1">
      <c r="A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2.75" customHeight="1">
      <c r="A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2.75" customHeight="1">
      <c r="A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2.75" customHeight="1">
      <c r="A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2.75" customHeight="1">
      <c r="A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2.75" customHeight="1">
      <c r="A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2.75" customHeight="1">
      <c r="A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2.75" customHeight="1">
      <c r="A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2.75" customHeight="1">
      <c r="A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2.75" customHeight="1">
      <c r="A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2.75" customHeight="1">
      <c r="A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2.75" customHeight="1">
      <c r="A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2.75" customHeight="1">
      <c r="A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2.75" customHeight="1">
      <c r="A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2.75" customHeight="1">
      <c r="A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2.75" customHeight="1">
      <c r="A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2.75" customHeight="1">
      <c r="A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2.75" customHeight="1">
      <c r="A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2.75" customHeight="1">
      <c r="A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2.75" customHeight="1">
      <c r="A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2.75" customHeight="1">
      <c r="A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2.75" customHeight="1">
      <c r="A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2.75" customHeight="1">
      <c r="A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2.75" customHeight="1">
      <c r="A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2.75" customHeight="1">
      <c r="A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2.75" customHeight="1">
      <c r="A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2.75" customHeight="1">
      <c r="A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2.75" customHeight="1">
      <c r="A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2.75" customHeight="1">
      <c r="A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2.75" customHeight="1">
      <c r="A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2.75" customHeight="1">
      <c r="A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2.75" customHeight="1">
      <c r="A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2.75" customHeight="1">
      <c r="A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2.75" customHeight="1">
      <c r="A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2.75" customHeight="1">
      <c r="A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2.75" customHeight="1">
      <c r="A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2.75" customHeight="1">
      <c r="A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2.75" customHeight="1">
      <c r="A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2.75" customHeight="1">
      <c r="A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2.75" customHeight="1">
      <c r="A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2.75" customHeight="1">
      <c r="A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2.75" customHeight="1">
      <c r="A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2.75" customHeight="1">
      <c r="A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2.75" customHeight="1">
      <c r="A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2.75" customHeight="1">
      <c r="A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2.75" customHeight="1">
      <c r="A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2.75" customHeight="1">
      <c r="A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2.75" customHeight="1">
      <c r="A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2.75" customHeight="1">
      <c r="A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2.75" customHeight="1">
      <c r="A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2.75" customHeight="1">
      <c r="A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2.75" customHeight="1">
      <c r="A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2.75" customHeight="1">
      <c r="A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2.75" customHeight="1">
      <c r="A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2.75" customHeight="1">
      <c r="A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2.75" customHeight="1">
      <c r="A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2.75" customHeight="1">
      <c r="A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2.75" customHeight="1">
      <c r="A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2.75" customHeight="1">
      <c r="A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2.75" customHeight="1">
      <c r="A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2.75" customHeight="1">
      <c r="A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2.75" customHeight="1">
      <c r="A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2.75" customHeight="1">
      <c r="A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2.75" customHeight="1">
      <c r="A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2.75" customHeight="1">
      <c r="A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2.75" customHeight="1">
      <c r="A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2.75" customHeight="1">
      <c r="A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2.75" customHeight="1">
      <c r="A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2.75" customHeight="1">
      <c r="A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2.75" customHeight="1">
      <c r="A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2.75" customHeight="1">
      <c r="A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2.75" customHeight="1">
      <c r="A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2.75" customHeight="1">
      <c r="A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2.75" customHeight="1">
      <c r="A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2.75" customHeight="1">
      <c r="A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2.75" customHeight="1">
      <c r="A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2.75" customHeight="1">
      <c r="A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2.75" customHeight="1">
      <c r="A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2.75" customHeight="1">
      <c r="A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2.75" customHeight="1">
      <c r="A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2.75" customHeight="1">
      <c r="A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2.75" customHeight="1">
      <c r="A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2.75" customHeight="1">
      <c r="A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2.75" customHeight="1">
      <c r="A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2.75" customHeight="1">
      <c r="A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2.75" customHeight="1">
      <c r="A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2.75" customHeight="1">
      <c r="A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2.75" customHeight="1">
      <c r="A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2.75" customHeight="1">
      <c r="A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2.75" customHeight="1">
      <c r="A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2.75" customHeight="1">
      <c r="A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2.75" customHeight="1">
      <c r="A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2.75" customHeight="1">
      <c r="A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2.75" customHeight="1">
      <c r="A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2.75" customHeight="1">
      <c r="A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2.75" customHeight="1">
      <c r="A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2.75" customHeight="1">
      <c r="A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2.75" customHeight="1">
      <c r="A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2.75" customHeight="1">
      <c r="A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2.75" customHeight="1">
      <c r="A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2.75" customHeight="1">
      <c r="A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2.75" customHeight="1">
      <c r="A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2.75" customHeight="1">
      <c r="A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2.75" customHeight="1">
      <c r="A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2.75" customHeight="1">
      <c r="A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2.75" customHeight="1">
      <c r="A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2.75" customHeight="1">
      <c r="A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2.75" customHeight="1">
      <c r="A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2.75" customHeight="1">
      <c r="A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2.75" customHeight="1">
      <c r="A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2.75" customHeight="1">
      <c r="A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2.75" customHeight="1">
      <c r="A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2.75" customHeight="1">
      <c r="A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2.75" customHeight="1">
      <c r="A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2.75" customHeight="1">
      <c r="A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2.75" customHeight="1">
      <c r="A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2.75" customHeight="1">
      <c r="A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2.75" customHeight="1">
      <c r="A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2.75" customHeight="1">
      <c r="A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2.75" customHeight="1">
      <c r="A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2.75" customHeight="1">
      <c r="A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2.75" customHeight="1">
      <c r="A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2.75" customHeight="1">
      <c r="A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2.75" customHeight="1">
      <c r="A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2.75" customHeight="1">
      <c r="A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2.75" customHeight="1">
      <c r="A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2.75" customHeight="1">
      <c r="A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2.75" customHeight="1">
      <c r="A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2.75" customHeight="1">
      <c r="A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2.75" customHeight="1">
      <c r="A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2.75" customHeight="1">
      <c r="A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2.75" customHeight="1">
      <c r="A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2.75" customHeight="1">
      <c r="A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2.75" customHeight="1">
      <c r="A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2.75" customHeight="1">
      <c r="A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2.75" customHeight="1">
      <c r="A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2.75" customHeight="1">
      <c r="A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2.75" customHeight="1">
      <c r="A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2.75" customHeight="1">
      <c r="A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2.75" customHeight="1">
      <c r="A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2.75" customHeight="1">
      <c r="A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2.75" customHeight="1">
      <c r="A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2.75" customHeight="1">
      <c r="A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2.75" customHeight="1">
      <c r="A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2.75" customHeight="1">
      <c r="A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2.75" customHeight="1">
      <c r="A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2.75" customHeight="1">
      <c r="A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2.75" customHeight="1">
      <c r="A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2.75" customHeight="1">
      <c r="A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2.75" customHeight="1">
      <c r="A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2.75" customHeight="1">
      <c r="A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2.75" customHeight="1">
      <c r="A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2.75" customHeight="1">
      <c r="A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2.75" customHeight="1">
      <c r="A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2.75" customHeight="1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2.75" customHeight="1">
      <c r="A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2.75" customHeight="1">
      <c r="A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2.75" customHeight="1">
      <c r="A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2.75" customHeight="1">
      <c r="A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2.75" customHeight="1">
      <c r="A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2.75" customHeight="1">
      <c r="A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2.75" customHeight="1">
      <c r="A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2.75" customHeight="1">
      <c r="A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2.75" customHeight="1">
      <c r="A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2.75" customHeight="1">
      <c r="A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2.75" customHeight="1">
      <c r="A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2.75" customHeight="1">
      <c r="A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2.75" customHeight="1">
      <c r="A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2.75" customHeight="1">
      <c r="A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2.75" customHeight="1">
      <c r="A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2.75" customHeight="1">
      <c r="A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2.75" customHeight="1">
      <c r="A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2.75" customHeight="1">
      <c r="A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2.75" customHeight="1">
      <c r="A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2.75" customHeight="1">
      <c r="A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2.75" customHeight="1">
      <c r="A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2.75" customHeight="1">
      <c r="A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2.75" customHeight="1">
      <c r="A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2.75" customHeight="1">
      <c r="A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2.75" customHeight="1">
      <c r="A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2.75" customHeight="1">
      <c r="A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2.75" customHeight="1">
      <c r="A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2.75" customHeight="1">
      <c r="A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2.75" customHeight="1">
      <c r="A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2.75" customHeight="1">
      <c r="A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2.75" customHeight="1">
      <c r="A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2.75" customHeight="1">
      <c r="A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2.75" customHeight="1">
      <c r="A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2.75" customHeight="1">
      <c r="A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2.75" customHeight="1">
      <c r="A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2.75" customHeight="1">
      <c r="A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2.75" customHeight="1">
      <c r="A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2.75" customHeight="1">
      <c r="A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2.75" customHeight="1">
      <c r="A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2.75" customHeight="1">
      <c r="A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2.75" customHeight="1">
      <c r="A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2.75" customHeight="1">
      <c r="A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2.75" customHeight="1">
      <c r="A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2.75" customHeight="1">
      <c r="A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2.75" customHeight="1">
      <c r="A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2.75" customHeight="1">
      <c r="A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2.75" customHeight="1">
      <c r="A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2.75" customHeight="1">
      <c r="A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2.75" customHeight="1">
      <c r="A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2.75" customHeight="1">
      <c r="A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2.75" customHeight="1">
      <c r="A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2.75" customHeight="1">
      <c r="A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2.75" customHeight="1">
      <c r="A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2.75" customHeight="1">
      <c r="A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2.75" customHeight="1">
      <c r="A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2.75" customHeight="1">
      <c r="A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2.75" customHeight="1">
      <c r="A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2.75" customHeight="1">
      <c r="A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2.75" customHeight="1">
      <c r="A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2.75" customHeight="1">
      <c r="A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2.75" customHeight="1">
      <c r="A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2.75" customHeight="1">
      <c r="A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2.75" customHeight="1">
      <c r="A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2.75" customHeight="1">
      <c r="A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2.75" customHeight="1">
      <c r="A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2.75" customHeight="1">
      <c r="A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2.75" customHeight="1">
      <c r="A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2.75" customHeight="1">
      <c r="A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2.75" customHeight="1">
      <c r="A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2.75" customHeight="1">
      <c r="A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2.75" customHeight="1">
      <c r="A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2.75" customHeight="1">
      <c r="A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2.75" customHeight="1">
      <c r="A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2.75" customHeight="1">
      <c r="A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2.75" customHeight="1">
      <c r="A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2.75" customHeight="1">
      <c r="A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2.75" customHeight="1">
      <c r="A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2.75" customHeight="1">
      <c r="A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2.75" customHeight="1">
      <c r="A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2.75" customHeight="1">
      <c r="A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2.75" customHeight="1">
      <c r="A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2.75" customHeight="1">
      <c r="A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2.75" customHeight="1">
      <c r="A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2.75" customHeight="1">
      <c r="A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2.75" customHeight="1">
      <c r="A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2.75" customHeight="1">
      <c r="A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2.75" customHeight="1">
      <c r="A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2.75" customHeight="1">
      <c r="A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2.75" customHeight="1">
      <c r="A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2.75" customHeight="1">
      <c r="A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2.75" customHeight="1">
      <c r="A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2.75" customHeight="1">
      <c r="A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2.75" customHeight="1">
      <c r="A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2.75" customHeight="1">
      <c r="A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2.75" customHeight="1">
      <c r="A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2.75" customHeight="1">
      <c r="A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2.75" customHeight="1">
      <c r="A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2.75" customHeight="1">
      <c r="A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2.75" customHeight="1">
      <c r="A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2.75" customHeight="1">
      <c r="A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2.75" customHeight="1">
      <c r="A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2.75" customHeight="1">
      <c r="A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2.75" customHeight="1">
      <c r="A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2.75" customHeight="1">
      <c r="A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2.75" customHeight="1">
      <c r="A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2.75" customHeight="1">
      <c r="A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2.75" customHeight="1">
      <c r="A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2.75" customHeight="1">
      <c r="A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2.75" customHeight="1">
      <c r="A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2.75" customHeight="1">
      <c r="A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2.75" customHeight="1">
      <c r="A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2.75" customHeight="1">
      <c r="A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2.75" customHeight="1">
      <c r="A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2.75" customHeight="1">
      <c r="A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2.75" customHeight="1">
      <c r="A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2.75" customHeight="1">
      <c r="A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2.75" customHeight="1">
      <c r="A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2.75" customHeight="1">
      <c r="A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2.75" customHeight="1">
      <c r="A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2.75" customHeight="1">
      <c r="A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2.75" customHeight="1">
      <c r="A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2.75" customHeight="1">
      <c r="A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2.75" customHeight="1">
      <c r="A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2.75" customHeight="1">
      <c r="A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2.75" customHeight="1">
      <c r="A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2.75" customHeight="1">
      <c r="A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2.75" customHeight="1">
      <c r="A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2.75" customHeight="1">
      <c r="A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2.75" customHeight="1">
      <c r="A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2.75" customHeight="1">
      <c r="A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2.75" customHeight="1">
      <c r="A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2.75" customHeight="1">
      <c r="A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2.75" customHeight="1">
      <c r="A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2.75" customHeight="1">
      <c r="A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2.75" customHeight="1">
      <c r="A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2.75" customHeight="1">
      <c r="A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2.75" customHeight="1">
      <c r="A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2.75" customHeight="1">
      <c r="A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2.75" customHeight="1">
      <c r="A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2.75" customHeight="1">
      <c r="A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2.75" customHeight="1">
      <c r="A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2.75" customHeight="1">
      <c r="A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2.75" customHeight="1">
      <c r="A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2.75" customHeight="1">
      <c r="A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2.75" customHeight="1">
      <c r="A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2.75" customHeight="1">
      <c r="A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2.75" customHeight="1">
      <c r="A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2.75" customHeight="1">
      <c r="A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2.75" customHeight="1">
      <c r="A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2.75" customHeight="1">
      <c r="A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2.75" customHeight="1">
      <c r="A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2.75" customHeight="1">
      <c r="A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2.75" customHeight="1">
      <c r="A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2.75" customHeight="1">
      <c r="A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2.75" customHeight="1">
      <c r="A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2.75" customHeight="1">
      <c r="A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2.75" customHeight="1">
      <c r="A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2.75" customHeight="1">
      <c r="A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2.75" customHeight="1">
      <c r="A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2.75" customHeight="1">
      <c r="A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2.75" customHeight="1">
      <c r="A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2.75" customHeight="1">
      <c r="A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2.75" customHeight="1">
      <c r="A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2.75" customHeight="1">
      <c r="A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2.75" customHeight="1">
      <c r="A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2.75" customHeight="1">
      <c r="A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2.75" customHeight="1">
      <c r="A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2.75" customHeight="1">
      <c r="A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2.75" customHeight="1">
      <c r="A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2.75" customHeight="1">
      <c r="A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2.75" customHeight="1">
      <c r="A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2.75" customHeight="1">
      <c r="A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2.75" customHeight="1">
      <c r="A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2.75" customHeight="1">
      <c r="A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2.75" customHeight="1">
      <c r="A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2.75" customHeight="1">
      <c r="A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2.75" customHeight="1">
      <c r="A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2.75" customHeight="1">
      <c r="A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2.75" customHeight="1">
      <c r="A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2.75" customHeight="1">
      <c r="A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2.75" customHeight="1">
      <c r="A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2.75" customHeight="1">
      <c r="A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2.75" customHeight="1">
      <c r="A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2.75" customHeight="1">
      <c r="A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2.75" customHeight="1">
      <c r="A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2.75" customHeight="1">
      <c r="A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2.75" customHeight="1">
      <c r="A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2.75" customHeight="1">
      <c r="A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2.75" customHeight="1">
      <c r="A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2.75" customHeight="1">
      <c r="A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2.75" customHeight="1">
      <c r="A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2.75" customHeight="1">
      <c r="A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2.75" customHeight="1">
      <c r="A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2.75" customHeight="1">
      <c r="A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2.75" customHeight="1">
      <c r="A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2.75" customHeight="1">
      <c r="A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2.75" customHeight="1">
      <c r="A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2.75" customHeight="1">
      <c r="A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2.75" customHeight="1">
      <c r="A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2.75" customHeight="1">
      <c r="A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2.75" customHeight="1">
      <c r="A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2.75" customHeight="1">
      <c r="A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2.75" customHeight="1">
      <c r="A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2.75" customHeight="1">
      <c r="A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2.75" customHeight="1">
      <c r="A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2.75" customHeight="1">
      <c r="A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2.75" customHeight="1">
      <c r="A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2.75" customHeight="1">
      <c r="A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2.75" customHeight="1">
      <c r="A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2.75" customHeight="1">
      <c r="A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2.75" customHeight="1">
      <c r="A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2.75" customHeight="1">
      <c r="A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2.75" customHeight="1">
      <c r="A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2.75" customHeight="1">
      <c r="A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2.75" customHeight="1">
      <c r="A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2.75" customHeight="1">
      <c r="A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2.75" customHeight="1">
      <c r="A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2.75" customHeight="1">
      <c r="A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2.75" customHeight="1">
      <c r="A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2.75" customHeight="1">
      <c r="A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2.75" customHeight="1">
      <c r="A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2.75" customHeight="1">
      <c r="A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2.75" customHeight="1">
      <c r="A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2.75" customHeight="1">
      <c r="A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2.75" customHeight="1">
      <c r="A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2.75" customHeight="1">
      <c r="A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2.75" customHeight="1">
      <c r="A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2.75" customHeight="1">
      <c r="A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2.75" customHeight="1">
      <c r="A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2.75" customHeight="1">
      <c r="A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2.75" customHeight="1">
      <c r="A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2.75" customHeight="1">
      <c r="A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2.75" customHeight="1">
      <c r="A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2.75" customHeight="1">
      <c r="A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2.75" customHeight="1">
      <c r="A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2.75" customHeight="1">
      <c r="A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2.75" customHeight="1">
      <c r="A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2.75" customHeight="1">
      <c r="A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2.75" customHeight="1">
      <c r="A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2.75" customHeight="1">
      <c r="A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2.75" customHeight="1">
      <c r="A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2.75" customHeight="1">
      <c r="A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2.75" customHeight="1">
      <c r="A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2.75" customHeight="1">
      <c r="A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2.75" customHeight="1">
      <c r="A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2.75" customHeight="1">
      <c r="A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2.75" customHeight="1">
      <c r="A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2.75" customHeight="1">
      <c r="A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2.75" customHeight="1">
      <c r="A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2.75" customHeight="1"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2.75" customHeight="1"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16.25"/>
    <col customWidth="1" min="2" max="2" width="16.13"/>
    <col customWidth="1" min="3" max="8" width="14.25"/>
    <col customWidth="1" min="9" max="23" width="16.0"/>
    <col customWidth="1" min="24" max="26" width="17.88"/>
    <col customWidth="1" min="27" max="29" width="11.88"/>
    <col customWidth="1" min="30" max="30" width="15.25"/>
    <col customWidth="1" min="31" max="31" width="11.88"/>
    <col customWidth="1" min="32" max="33" width="15.25"/>
    <col customWidth="1" min="34" max="34" width="11.88"/>
    <col customWidth="1" min="35" max="35" width="15.25"/>
    <col customWidth="1" min="36" max="37" width="11.88"/>
    <col customWidth="1" min="38" max="38" width="15.25"/>
    <col customWidth="1" min="39" max="39" width="11.88"/>
    <col customWidth="1" min="40" max="40" width="15.25"/>
    <col customWidth="1" min="41" max="41" width="12.63"/>
    <col customWidth="1" min="42" max="43" width="11.88"/>
    <col customWidth="1" min="44" max="44" width="12.38"/>
    <col customWidth="1" min="45" max="45" width="9.5"/>
    <col customWidth="1" min="46" max="61" width="8.0"/>
  </cols>
  <sheetData>
    <row r="1" ht="12.75" customHeight="1">
      <c r="A1" s="15"/>
      <c r="B1" s="16"/>
      <c r="C1" s="15">
        <f>COUNTIF(AH5:AH117,1)</f>
        <v>1</v>
      </c>
      <c r="D1" s="15">
        <f>COUNTIF(AA5:AA119,1)</f>
        <v>1</v>
      </c>
      <c r="E1" s="15">
        <f>COUNTIF(AF5:AF119,1)</f>
        <v>2</v>
      </c>
      <c r="F1" s="15">
        <f>COUNTIF(AE5:AE119,1)</f>
        <v>3</v>
      </c>
      <c r="G1" s="15">
        <f>COUNTIF(AD5:AD119,1)</f>
        <v>1</v>
      </c>
      <c r="H1" s="15">
        <f>COUNTIF(AN5:AN119,1)</f>
        <v>2</v>
      </c>
      <c r="I1" s="15">
        <f>COUNTIF(AK5:AK119,1)</f>
        <v>1</v>
      </c>
      <c r="J1" s="15">
        <f t="shared" ref="J1:K1" si="1">COUNTIF(X5:X119,1)</f>
        <v>1</v>
      </c>
      <c r="K1" s="15">
        <f t="shared" si="1"/>
        <v>2</v>
      </c>
      <c r="L1" s="15">
        <f>COUNTIF(AM5:AM119,1)</f>
        <v>1</v>
      </c>
      <c r="M1" s="15">
        <f>COUNTIF(AJ5:AJ119,1)</f>
        <v>3</v>
      </c>
      <c r="N1" s="15">
        <f t="shared" ref="N1:O1" si="2">COUNTIF(AB5:AB119,1)</f>
        <v>0</v>
      </c>
      <c r="O1" s="15">
        <f t="shared" si="2"/>
        <v>9</v>
      </c>
      <c r="P1" s="15">
        <f>COUNTIF(AI5:AI119,1)</f>
        <v>1</v>
      </c>
      <c r="Q1" s="15">
        <f>COUNTIF(AL5:AL119,1)</f>
        <v>6</v>
      </c>
      <c r="R1" s="15">
        <f>COUNTIF(Z5:Z119,1)</f>
        <v>1</v>
      </c>
      <c r="S1" s="15">
        <f>COUNTIF(AG5:AG119,1)</f>
        <v>1</v>
      </c>
      <c r="T1" s="15">
        <f t="shared" ref="T1:W1" si="3">COUNTIF(AO5:AO119,1)</f>
        <v>9</v>
      </c>
      <c r="U1" s="15">
        <f t="shared" si="3"/>
        <v>4</v>
      </c>
      <c r="V1" s="15">
        <f t="shared" si="3"/>
        <v>7</v>
      </c>
      <c r="W1" s="15">
        <f t="shared" si="3"/>
        <v>0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</row>
    <row r="2" ht="12.75" customHeight="1">
      <c r="A2" s="17" t="s">
        <v>0</v>
      </c>
      <c r="B2" s="18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20" t="s">
        <v>19</v>
      </c>
      <c r="U2" s="21" t="s">
        <v>20</v>
      </c>
      <c r="V2" s="22" t="s">
        <v>21</v>
      </c>
      <c r="W2" s="22" t="s">
        <v>22</v>
      </c>
      <c r="X2" s="23" t="s">
        <v>9</v>
      </c>
      <c r="Y2" s="23" t="s">
        <v>10</v>
      </c>
      <c r="Z2" s="23" t="s">
        <v>17</v>
      </c>
      <c r="AA2" s="23" t="s">
        <v>3</v>
      </c>
      <c r="AB2" s="23" t="s">
        <v>13</v>
      </c>
      <c r="AC2" s="23" t="s">
        <v>14</v>
      </c>
      <c r="AD2" s="23" t="s">
        <v>6</v>
      </c>
      <c r="AE2" s="23" t="s">
        <v>5</v>
      </c>
      <c r="AF2" s="23" t="s">
        <v>4</v>
      </c>
      <c r="AG2" s="23" t="s">
        <v>18</v>
      </c>
      <c r="AH2" s="23" t="s">
        <v>2</v>
      </c>
      <c r="AI2" s="23" t="s">
        <v>15</v>
      </c>
      <c r="AJ2" s="23" t="s">
        <v>12</v>
      </c>
      <c r="AK2" s="23" t="s">
        <v>8</v>
      </c>
      <c r="AL2" s="23" t="s">
        <v>16</v>
      </c>
      <c r="AM2" s="23" t="s">
        <v>11</v>
      </c>
      <c r="AN2" s="23" t="s">
        <v>7</v>
      </c>
      <c r="AO2" s="23" t="s">
        <v>19</v>
      </c>
      <c r="AP2" s="23" t="s">
        <v>20</v>
      </c>
      <c r="AQ2" s="23" t="s">
        <v>21</v>
      </c>
      <c r="AR2" s="24" t="s">
        <v>22</v>
      </c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</row>
    <row r="3" ht="12.75" customHeight="1">
      <c r="A3" s="26" t="s">
        <v>32</v>
      </c>
      <c r="B3" s="27" t="s">
        <v>33</v>
      </c>
      <c r="C3" s="28">
        <f>HLOOKUP('1a FASE'!$C$2,'cálculo'!$C$2:$AR$3,2,FALSE)</f>
        <v>83.1</v>
      </c>
      <c r="D3" s="28">
        <f>HLOOKUP('1a FASE'!$D$2,'cálculo'!$C$2:$AR$3,2,FALSE)</f>
        <v>95</v>
      </c>
      <c r="E3" s="28">
        <f>HLOOKUP('1a FASE'!$E$2,'cálculo'!$C$2:$AR$3,2,FALSE)</f>
        <v>102.6</v>
      </c>
      <c r="F3" s="28">
        <f>HLOOKUP('1a FASE'!$F$2,'cálculo'!$C$2:$AR$3,2,FALSE)</f>
        <v>93.55</v>
      </c>
      <c r="G3" s="28">
        <f>HLOOKUP('1a FASE'!$G$2,'cálculo'!$C$2:$AR$3,2,FALSE)</f>
        <v>95</v>
      </c>
      <c r="H3" s="28">
        <f>HLOOKUP('1a FASE'!$H$2,'cálculo'!$C$2:$AR$3,2,FALSE)</f>
        <v>91</v>
      </c>
      <c r="I3" s="28">
        <f>HLOOKUP('1a FASE'!$I$2,'cálculo'!$C$2:$AR$3,2,FALSE)</f>
        <v>92.5</v>
      </c>
      <c r="J3" s="28">
        <f>HLOOKUP('1a FASE'!$J$2,'cálculo'!$C$2:$AR$3,2,FALSE)</f>
        <v>93</v>
      </c>
      <c r="K3" s="28">
        <f>HLOOKUP('1a FASE'!$K$2,'cálculo'!$C$2:$AR$3,2,FALSE)</f>
        <v>91.85</v>
      </c>
      <c r="L3" s="28">
        <f>HLOOKUP('1a FASE'!$L$2,'cálculo'!$C$2:$AR$3,2,FALSE)</f>
        <v>90.15</v>
      </c>
      <c r="M3" s="28">
        <f>HLOOKUP('1a FASE'!$M$2,'cálculo'!$C$2:$AR$3,2,FALSE)</f>
        <v>90.15</v>
      </c>
      <c r="N3" s="28">
        <f>HLOOKUP('1a FASE'!$N$2,'cálculo'!$C$2:$AR$3,2,FALSE)</f>
        <v>103.7</v>
      </c>
      <c r="O3" s="28">
        <f>HLOOKUP('1a FASE'!$O$2,'cálculo'!$C$2:$AR$3,2,FALSE)</f>
        <v>91.8</v>
      </c>
      <c r="P3" s="28">
        <f>HLOOKUP('1a FASE'!$P$2,'cálculo'!$C$2:$AR$3,2,FALSE)</f>
        <v>100.65</v>
      </c>
      <c r="Q3" s="28">
        <f>HLOOKUP('1a FASE'!$Q$2,'cálculo'!$C$2:$AR$3,2,FALSE)</f>
        <v>96.65</v>
      </c>
      <c r="R3" s="28">
        <f>HLOOKUP('1a FASE'!$R$2,'cálculo'!$C$2:$AR$3,2,FALSE)</f>
        <v>106.9</v>
      </c>
      <c r="S3" s="28">
        <f>HLOOKUP('1a FASE'!$S$2,'cálculo'!$C$2:$AR$3,2,FALSE)</f>
        <v>91.6</v>
      </c>
      <c r="T3" s="28">
        <f>HLOOKUP('1a FASE'!$T$2,'cálculo'!$C$2:$AR$3,2,FALSE)</f>
        <v>88.5</v>
      </c>
      <c r="U3" s="28">
        <f>HLOOKUP('1a FASE'!$U$2,'cálculo'!$C$2:$AR$3,2,FALSE)</f>
        <v>81.7</v>
      </c>
      <c r="V3" s="28">
        <f>HLOOKUP('1a FASE'!$V$2,'cálculo'!$C$2:$AR$3,2,FALSE)</f>
        <v>91.85</v>
      </c>
      <c r="W3" s="28">
        <f>HLOOKUP('1a FASE'!$W$2,'cálculo'!$C$2:$AR$3,2,FALSE)</f>
        <v>86.75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</row>
    <row r="4" ht="10.5" customHeight="1">
      <c r="A4" s="26" t="s">
        <v>34</v>
      </c>
      <c r="B4" s="27" t="s">
        <v>33</v>
      </c>
      <c r="C4" s="29">
        <f t="shared" ref="C4:W4" si="4">RANK(C3,$C$3:$W$3)</f>
        <v>20</v>
      </c>
      <c r="D4" s="29">
        <f t="shared" si="4"/>
        <v>6</v>
      </c>
      <c r="E4" s="29">
        <f t="shared" si="4"/>
        <v>3</v>
      </c>
      <c r="F4" s="29">
        <f t="shared" si="4"/>
        <v>8</v>
      </c>
      <c r="G4" s="29">
        <f t="shared" si="4"/>
        <v>6</v>
      </c>
      <c r="H4" s="29">
        <f t="shared" si="4"/>
        <v>15</v>
      </c>
      <c r="I4" s="29">
        <f t="shared" si="4"/>
        <v>10</v>
      </c>
      <c r="J4" s="29">
        <f t="shared" si="4"/>
        <v>9</v>
      </c>
      <c r="K4" s="29">
        <f t="shared" si="4"/>
        <v>11</v>
      </c>
      <c r="L4" s="29">
        <f t="shared" si="4"/>
        <v>16</v>
      </c>
      <c r="M4" s="29">
        <f t="shared" si="4"/>
        <v>16</v>
      </c>
      <c r="N4" s="29">
        <f t="shared" si="4"/>
        <v>2</v>
      </c>
      <c r="O4" s="29">
        <f t="shared" si="4"/>
        <v>13</v>
      </c>
      <c r="P4" s="29">
        <f t="shared" si="4"/>
        <v>4</v>
      </c>
      <c r="Q4" s="29">
        <f t="shared" si="4"/>
        <v>5</v>
      </c>
      <c r="R4" s="29">
        <f t="shared" si="4"/>
        <v>1</v>
      </c>
      <c r="S4" s="29">
        <f t="shared" si="4"/>
        <v>14</v>
      </c>
      <c r="T4" s="29">
        <f t="shared" si="4"/>
        <v>18</v>
      </c>
      <c r="U4" s="29">
        <f t="shared" si="4"/>
        <v>21</v>
      </c>
      <c r="V4" s="29">
        <f t="shared" si="4"/>
        <v>11</v>
      </c>
      <c r="W4" s="29">
        <f t="shared" si="4"/>
        <v>19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</row>
    <row r="5" ht="10.5" customHeight="1">
      <c r="A5" s="30" t="s">
        <v>35</v>
      </c>
      <c r="B5" s="31"/>
      <c r="C5" s="32" t="str">
        <f>VLOOKUP($C$2,Form_PrimeiraFase!$C$2:$FB$70,154,FALSE)</f>
        <v>Kylian Mbappé</v>
      </c>
      <c r="D5" s="32" t="str">
        <f>VLOOKUP($D$2,Form_PrimeiraFase!$C$2:$FB$69,154,FALSE)</f>
        <v>Mohamed Salah</v>
      </c>
      <c r="E5" s="32" t="str">
        <f>VLOOKUP($E$2,Form_PrimeiraFase!$C$2:$FB$69,154,FALSE)</f>
        <v>João Pedro</v>
      </c>
      <c r="F5" s="32" t="str">
        <f>VLOOKUP($F$2,Form_PrimeiraFase!$C$2:$FB$69,154,FALSE)</f>
        <v>Ekitike </v>
      </c>
      <c r="G5" s="32" t="str">
        <f>VLOOKUP($G$2,Form_PrimeiraFase!$C$2:$FB$69,154,FALSE)</f>
        <v>Raphinha</v>
      </c>
      <c r="H5" s="32" t="str">
        <f>VLOOKUP($H$2,Form_PrimeiraFase!$C$2:$FB$69,154,FALSE)</f>
        <v>Robert Lewandowski</v>
      </c>
      <c r="I5" s="32" t="str">
        <f>VLOOKUP($I$2,Form_PrimeiraFase!$C$2:$FB$69,154,FALSE)</f>
        <v>Harry Kane</v>
      </c>
      <c r="J5" s="32" t="str">
        <f>VLOOKUP($J$2,Form_PrimeiraFase!$C$2:$FB$69,154,FALSE)</f>
        <v>Erling Haaland</v>
      </c>
      <c r="K5" s="32" t="str">
        <f>VLOOKUP($K$2,Form_PrimeiraFase!$C$2:$FB$69,154,FALSE)</f>
        <v>Raphinha</v>
      </c>
      <c r="L5" s="32" t="str">
        <f>VLOOKUP($L$2,Form_PrimeiraFase!$C$2:$FB$69,154,FALSE)</f>
        <v>Raphinha</v>
      </c>
      <c r="M5" s="32" t="str">
        <f>VLOOKUP($M$2,Form_PrimeiraFase!$C$2:$FB$69,154,FALSE)</f>
        <v>Erling Haaland</v>
      </c>
      <c r="N5" s="32" t="str">
        <f>VLOOKUP($N$2,Form_PrimeiraFase!$C$2:$FB$69,154,FALSE)</f>
        <v>Robert Lewandowski</v>
      </c>
      <c r="O5" s="32" t="str">
        <f>VLOOKUP($O$2,Form_PrimeiraFase!$C$2:$FB$69,154,FALSE)</f>
        <v>Robert Lewandowski</v>
      </c>
      <c r="P5" s="32" t="str">
        <f>VLOOKUP($P$2,Form_PrimeiraFase!$C$2:$FB$69,154,FALSE)</f>
        <v>Robert Lewandowski</v>
      </c>
      <c r="Q5" s="32" t="str">
        <f>VLOOKUP($Q$2,Form_PrimeiraFase!$C$2:$FB$69,154,FALSE)</f>
        <v>Kylian Mbappé</v>
      </c>
      <c r="R5" s="32" t="str">
        <f>VLOOKUP($R$2,Form_PrimeiraFase!$C$2:$FB$69,154,FALSE)</f>
        <v>Erling Haaland</v>
      </c>
      <c r="S5" s="32" t="str">
        <f>VLOOKUP($S$2,Form_PrimeiraFase!$C$2:$FB$69,154,FALSE)</f>
        <v>Erling Haaland</v>
      </c>
      <c r="T5" s="32" t="str">
        <f>VLOOKUP($T$2,Form_PrimeiraFase!$C$2:$FB$69,154,FALSE)</f>
        <v>Ousmane Dembélé</v>
      </c>
      <c r="U5" s="32" t="str">
        <f>VLOOKUP($U$2,Form_PrimeiraFase!$C$2:$FB$69,154,FALSE)</f>
        <v>Raphinha</v>
      </c>
      <c r="V5" s="32" t="str">
        <f>VLOOKUP($V$2,Form_PrimeiraFase!$C$2:$FB$69,154,FALSE)</f>
        <v>Harry Kane</v>
      </c>
      <c r="W5" s="32" t="str">
        <f>VLOOKUP($W$2,Form_PrimeiraFase!$C$2:$FB$69,154,FALSE)</f>
        <v>Kylian Mbappé</v>
      </c>
      <c r="X5" s="33">
        <f t="shared" ref="X5:Y5" si="5">COUNTIF($C5:$W5,J5)</f>
        <v>4</v>
      </c>
      <c r="Y5" s="33">
        <f t="shared" si="5"/>
        <v>4</v>
      </c>
      <c r="Z5" s="33">
        <f t="shared" ref="Z5:Z151" si="9">COUNTIF($C5:$W5,R5)</f>
        <v>4</v>
      </c>
      <c r="AA5" s="33">
        <f t="shared" ref="AA5:AA151" si="10">COUNTIF($C5:$W5,D5)</f>
        <v>1</v>
      </c>
      <c r="AB5" s="33">
        <f t="shared" ref="AB5:AC5" si="6">COUNTIF($C5:$W5,N5)</f>
        <v>4</v>
      </c>
      <c r="AC5" s="33">
        <f t="shared" si="6"/>
        <v>4</v>
      </c>
      <c r="AD5" s="33">
        <f t="shared" ref="AD5:AD151" si="12">COUNTIF($C5:$W5,G5)</f>
        <v>4</v>
      </c>
      <c r="AE5" s="33">
        <f t="shared" ref="AE5:AE151" si="13">COUNTIF($C5:$W5,F5)</f>
        <v>1</v>
      </c>
      <c r="AF5" s="33">
        <f t="shared" ref="AF5:AF151" si="14">COUNTIF($C5:$W5,E5)</f>
        <v>1</v>
      </c>
      <c r="AG5" s="33">
        <f t="shared" ref="AG5:AG151" si="15">COUNTIF($C5:$W5,S5)</f>
        <v>4</v>
      </c>
      <c r="AH5" s="33">
        <f t="shared" ref="AH5:AH151" si="16">COUNTIF($C5:$W5,C5)</f>
        <v>3</v>
      </c>
      <c r="AI5" s="33">
        <f t="shared" ref="AI5:AI151" si="17">COUNTIF($C5:$W5,P5)</f>
        <v>4</v>
      </c>
      <c r="AJ5" s="33">
        <f t="shared" ref="AJ5:AJ151" si="18">COUNTIF($C5:$W5,M5)</f>
        <v>4</v>
      </c>
      <c r="AK5" s="33">
        <f t="shared" ref="AK5:AK151" si="19">COUNTIF($C5:$W5,I5)</f>
        <v>2</v>
      </c>
      <c r="AL5" s="33">
        <f t="shared" ref="AL5:AL151" si="20">COUNTIF($C5:$W5,Q5)</f>
        <v>3</v>
      </c>
      <c r="AM5" s="33">
        <f t="shared" ref="AM5:AM151" si="21">COUNTIF($C5:$W5,L5)</f>
        <v>4</v>
      </c>
      <c r="AN5" s="33">
        <f t="shared" ref="AN5:AN151" si="22">COUNTIF($C5:$W5,H5)</f>
        <v>4</v>
      </c>
      <c r="AO5" s="33">
        <f t="shared" ref="AO5:AR5" si="7">COUNTIF($C5:$W5,T5)</f>
        <v>1</v>
      </c>
      <c r="AP5" s="33">
        <f t="shared" si="7"/>
        <v>4</v>
      </c>
      <c r="AQ5" s="33">
        <f t="shared" si="7"/>
        <v>2</v>
      </c>
      <c r="AR5" s="33">
        <f t="shared" si="7"/>
        <v>3</v>
      </c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</row>
    <row r="6" ht="12.75" customHeight="1">
      <c r="A6" s="30" t="s">
        <v>23</v>
      </c>
      <c r="B6" s="31"/>
      <c r="C6" s="32" t="str">
        <f>VLOOKUP($C$2,Form_PrimeiraFase!$C$2:$FB$69,155,FALSE)</f>
        <v>Phil Foden</v>
      </c>
      <c r="D6" s="32" t="str">
        <f>VLOOKUP($D$2,Form_PrimeiraFase!$C$2:$FB$69,155,FALSE)</f>
        <v>Mohamed Salah</v>
      </c>
      <c r="E6" s="32" t="str">
        <f>VLOOKUP($E$2,Form_PrimeiraFase!$C$2:$FB$69,155,FALSE)</f>
        <v>Lamine Yamal</v>
      </c>
      <c r="F6" s="32" t="str">
        <f>VLOOKUP($F$2,Form_PrimeiraFase!$C$2:$FB$69,155,FALSE)</f>
        <v>Raphinha</v>
      </c>
      <c r="G6" s="32" t="str">
        <f>VLOOKUP($G$2,Form_PrimeiraFase!$C$2:$FB$69,155,FALSE)</f>
        <v>Lamine Yamal</v>
      </c>
      <c r="H6" s="32" t="str">
        <f>VLOOKUP($H$2,Form_PrimeiraFase!$C$2:$FB$69,155,FALSE)</f>
        <v>Lamine Yamal</v>
      </c>
      <c r="I6" s="32" t="str">
        <f>VLOOKUP($I$2,Form_PrimeiraFase!$C$2:$FB$69,155,FALSE)</f>
        <v>Lamine Yamal</v>
      </c>
      <c r="J6" s="32" t="str">
        <f>VLOOKUP($J$2,Form_PrimeiraFase!$C$2:$FB$69,155,FALSE)</f>
        <v>Désiré Doué</v>
      </c>
      <c r="K6" s="32" t="str">
        <f>VLOOKUP($K$2,Form_PrimeiraFase!$C$2:$FB$69,155,FALSE)</f>
        <v>Lamine Yamal</v>
      </c>
      <c r="L6" s="32" t="str">
        <f>VLOOKUP($L$2,Form_PrimeiraFase!$C$2:$FB$69,155,FALSE)</f>
        <v>Cole Palmer</v>
      </c>
      <c r="M6" s="32" t="str">
        <f>VLOOKUP($M$2,Form_PrimeiraFase!$C$2:$FB$69,155,FALSE)</f>
        <v>Ousmane Dembélé</v>
      </c>
      <c r="N6" s="32" t="str">
        <f>VLOOKUP($N$2,Form_PrimeiraFase!$C$2:$FB$69,155,FALSE)</f>
        <v>Cole Palmer</v>
      </c>
      <c r="O6" s="32" t="str">
        <f>VLOOKUP($O$2,Form_PrimeiraFase!$C$2:$FB$69,155,FALSE)</f>
        <v>Eberechi Eze</v>
      </c>
      <c r="P6" s="32" t="str">
        <f>VLOOKUP($P$2,Form_PrimeiraFase!$C$2:$FB$69,155,FALSE)</f>
        <v>Lamine Yamal</v>
      </c>
      <c r="Q6" s="32" t="str">
        <f>VLOOKUP($Q$2,Form_PrimeiraFase!$C$2:$FB$69,155,FALSE)</f>
        <v>Raphinha</v>
      </c>
      <c r="R6" s="32" t="str">
        <f>VLOOKUP($R$2,Form_PrimeiraFase!$C$2:$FB$69,155,FALSE)</f>
        <v>Vitinha</v>
      </c>
      <c r="S6" s="32" t="str">
        <f>VLOOKUP($S$2,Form_PrimeiraFase!$C$2:$FB$69,155,FALSE)</f>
        <v>Mohamed Salah</v>
      </c>
      <c r="T6" s="32" t="str">
        <f>VLOOKUP($T$2,Form_PrimeiraFase!$C$2:$FB$69,155,FALSE)</f>
        <v>Raphinha</v>
      </c>
      <c r="U6" s="32" t="str">
        <f>VLOOKUP($U$2,Form_PrimeiraFase!$C$2:$FB$69,155,FALSE)</f>
        <v>Lamine Yamal</v>
      </c>
      <c r="V6" s="32" t="str">
        <f>VLOOKUP($V$2,Form_PrimeiraFase!$C$2:$FB$69,155,FALSE)</f>
        <v>Vinícius Jr.</v>
      </c>
      <c r="W6" s="32" t="str">
        <f>VLOOKUP($W$2,Form_PrimeiraFase!$C$2:$FB$69,155,FALSE)</f>
        <v>Vinícius Jr.</v>
      </c>
      <c r="X6" s="33">
        <f t="shared" ref="X6:Y6" si="8">COUNTIF($C6:$W6,J6)</f>
        <v>1</v>
      </c>
      <c r="Y6" s="33">
        <f t="shared" si="8"/>
        <v>7</v>
      </c>
      <c r="Z6" s="33">
        <f t="shared" si="9"/>
        <v>1</v>
      </c>
      <c r="AA6" s="33">
        <f t="shared" si="10"/>
        <v>2</v>
      </c>
      <c r="AB6" s="33">
        <f t="shared" ref="AB6:AC6" si="11">COUNTIF($C6:$W6,N6)</f>
        <v>2</v>
      </c>
      <c r="AC6" s="33">
        <f t="shared" si="11"/>
        <v>1</v>
      </c>
      <c r="AD6" s="33">
        <f t="shared" si="12"/>
        <v>7</v>
      </c>
      <c r="AE6" s="33">
        <f t="shared" si="13"/>
        <v>3</v>
      </c>
      <c r="AF6" s="33">
        <f t="shared" si="14"/>
        <v>7</v>
      </c>
      <c r="AG6" s="33">
        <f t="shared" si="15"/>
        <v>2</v>
      </c>
      <c r="AH6" s="33">
        <f t="shared" si="16"/>
        <v>1</v>
      </c>
      <c r="AI6" s="33">
        <f t="shared" si="17"/>
        <v>7</v>
      </c>
      <c r="AJ6" s="33">
        <f t="shared" si="18"/>
        <v>1</v>
      </c>
      <c r="AK6" s="33">
        <f t="shared" si="19"/>
        <v>7</v>
      </c>
      <c r="AL6" s="33">
        <f t="shared" si="20"/>
        <v>3</v>
      </c>
      <c r="AM6" s="33">
        <f t="shared" si="21"/>
        <v>2</v>
      </c>
      <c r="AN6" s="33">
        <f t="shared" si="22"/>
        <v>7</v>
      </c>
      <c r="AO6" s="33">
        <f t="shared" ref="AO6:AR6" si="23">COUNTIF($C6:$W6,T6)</f>
        <v>3</v>
      </c>
      <c r="AP6" s="33">
        <f t="shared" si="23"/>
        <v>7</v>
      </c>
      <c r="AQ6" s="33">
        <f t="shared" si="23"/>
        <v>2</v>
      </c>
      <c r="AR6" s="33">
        <f t="shared" si="23"/>
        <v>2</v>
      </c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</row>
    <row r="7" ht="10.5" customHeight="1">
      <c r="A7" s="30" t="s">
        <v>36</v>
      </c>
      <c r="B7" s="31"/>
      <c r="C7" s="32" t="str">
        <f>VLOOKUP($C$2,Form_PrimeiraFase!$C$2:$FB$69,156,FALSE)</f>
        <v>Real Madrid</v>
      </c>
      <c r="D7" s="32" t="str">
        <f>VLOOKUP($D$2,Form_PrimeiraFase!$C$2:$FB$69,156,FALSE)</f>
        <v>Barcelona</v>
      </c>
      <c r="E7" s="32" t="str">
        <f>VLOOKUP($E$2,Form_PrimeiraFase!$C$2:$FB$69,156,FALSE)</f>
        <v>Barcelona</v>
      </c>
      <c r="F7" s="32" t="str">
        <f>VLOOKUP($F$2,Form_PrimeiraFase!$C$2:$FB$69,156,FALSE)</f>
        <v>Liverpool</v>
      </c>
      <c r="G7" s="32" t="str">
        <f>VLOOKUP($G$2,Form_PrimeiraFase!$C$2:$FB$69,156,FALSE)</f>
        <v>Barcelona</v>
      </c>
      <c r="H7" s="32" t="str">
        <f>VLOOKUP($H$2,Form_PrimeiraFase!$C$2:$FB$69,156,FALSE)</f>
        <v>Barcelona</v>
      </c>
      <c r="I7" s="32" t="str">
        <f>VLOOKUP($I$2,Form_PrimeiraFase!$C$2:$FB$69,156,FALSE)</f>
        <v>Chelsea</v>
      </c>
      <c r="J7" s="32" t="str">
        <f>VLOOKUP($J$2,Form_PrimeiraFase!$C$2:$FB$69,156,FALSE)</f>
        <v>Paris Saint-Germain</v>
      </c>
      <c r="K7" s="32" t="str">
        <f>VLOOKUP($K$2,Form_PrimeiraFase!$C$2:$FB$69,156,FALSE)</f>
        <v>Liverpool</v>
      </c>
      <c r="L7" s="32" t="str">
        <f>VLOOKUP($L$2,Form_PrimeiraFase!$C$2:$FB$69,156,FALSE)</f>
        <v>Barcelona</v>
      </c>
      <c r="M7" s="32" t="str">
        <f>VLOOKUP($M$2,Form_PrimeiraFase!$C$2:$FB$69,156,FALSE)</f>
        <v>Liverpool</v>
      </c>
      <c r="N7" s="32" t="str">
        <f>VLOOKUP($N$2,Form_PrimeiraFase!$C$2:$FB$69,156,FALSE)</f>
        <v>Barcelona</v>
      </c>
      <c r="O7" s="32" t="str">
        <f>VLOOKUP($O$2,Form_PrimeiraFase!$C$2:$FB$69,156,FALSE)</f>
        <v>Barcelona</v>
      </c>
      <c r="P7" s="32" t="str">
        <f>VLOOKUP($P$2,Form_PrimeiraFase!$C$2:$FB$69,156,FALSE)</f>
        <v>Barcelona</v>
      </c>
      <c r="Q7" s="32" t="str">
        <f>VLOOKUP($Q$2,Form_PrimeiraFase!$C$2:$FB$69,156,FALSE)</f>
        <v>Barcelona</v>
      </c>
      <c r="R7" s="32" t="str">
        <f>VLOOKUP($R$2,Form_PrimeiraFase!$C$2:$FB$69,156,FALSE)</f>
        <v>Real Madrid</v>
      </c>
      <c r="S7" s="32" t="str">
        <f>VLOOKUP($S$2,Form_PrimeiraFase!$C$2:$FB$69,156,FALSE)</f>
        <v>Barcelona</v>
      </c>
      <c r="T7" s="32" t="str">
        <f>VLOOKUP($T$2,Form_PrimeiraFase!$C$2:$FB$69,156,FALSE)</f>
        <v>Paris Saint-Germain</v>
      </c>
      <c r="U7" s="32" t="str">
        <f>VLOOKUP($U$2,Form_PrimeiraFase!$C$2:$FB$69,156,FALSE)</f>
        <v>Barcelona</v>
      </c>
      <c r="V7" s="32" t="str">
        <f>VLOOKUP($V$2,Form_PrimeiraFase!$C$2:$FB$69,156,FALSE)</f>
        <v>Liverpool</v>
      </c>
      <c r="W7" s="32" t="str">
        <f>VLOOKUP($W$2,Form_PrimeiraFase!$C$2:$FB$69,156,FALSE)</f>
        <v>Barcelona</v>
      </c>
      <c r="X7" s="33">
        <f t="shared" ref="X7:Y7" si="24">COUNTIF($C7:$W7,J7)</f>
        <v>2</v>
      </c>
      <c r="Y7" s="33">
        <f t="shared" si="24"/>
        <v>4</v>
      </c>
      <c r="Z7" s="33">
        <f t="shared" si="9"/>
        <v>2</v>
      </c>
      <c r="AA7" s="33">
        <f t="shared" si="10"/>
        <v>12</v>
      </c>
      <c r="AB7" s="33">
        <f t="shared" ref="AB7:AC7" si="25">COUNTIF($C7:$W7,N7)</f>
        <v>12</v>
      </c>
      <c r="AC7" s="33">
        <f t="shared" si="25"/>
        <v>12</v>
      </c>
      <c r="AD7" s="33">
        <f t="shared" si="12"/>
        <v>12</v>
      </c>
      <c r="AE7" s="33">
        <f t="shared" si="13"/>
        <v>4</v>
      </c>
      <c r="AF7" s="33">
        <f t="shared" si="14"/>
        <v>12</v>
      </c>
      <c r="AG7" s="33">
        <f t="shared" si="15"/>
        <v>12</v>
      </c>
      <c r="AH7" s="33">
        <f t="shared" si="16"/>
        <v>2</v>
      </c>
      <c r="AI7" s="33">
        <f t="shared" si="17"/>
        <v>12</v>
      </c>
      <c r="AJ7" s="33">
        <f t="shared" si="18"/>
        <v>4</v>
      </c>
      <c r="AK7" s="33">
        <f t="shared" si="19"/>
        <v>1</v>
      </c>
      <c r="AL7" s="33">
        <f t="shared" si="20"/>
        <v>12</v>
      </c>
      <c r="AM7" s="33">
        <f t="shared" si="21"/>
        <v>12</v>
      </c>
      <c r="AN7" s="33">
        <f t="shared" si="22"/>
        <v>12</v>
      </c>
      <c r="AO7" s="33">
        <f t="shared" ref="AO7:AR7" si="26">COUNTIF($C7:$W7,T7)</f>
        <v>2</v>
      </c>
      <c r="AP7" s="33">
        <f t="shared" si="26"/>
        <v>12</v>
      </c>
      <c r="AQ7" s="33">
        <f t="shared" si="26"/>
        <v>4</v>
      </c>
      <c r="AR7" s="33">
        <f t="shared" si="26"/>
        <v>12</v>
      </c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</row>
    <row r="8" ht="10.5" customHeight="1">
      <c r="A8" s="30" t="s">
        <v>37</v>
      </c>
      <c r="B8" s="32" t="s">
        <v>38</v>
      </c>
      <c r="C8" s="32" t="str">
        <f>VLOOKUP($C$2,Form_PrimeiraFase!$C$2:$FB$69,2,FALSE)</f>
        <v>PSV Eindhoven</v>
      </c>
      <c r="D8" s="32" t="str">
        <f>VLOOKUP($D$2,Form_PrimeiraFase!$C$2:$FB$69,2,FALSE)</f>
        <v>PSV Eindhoven</v>
      </c>
      <c r="E8" s="32" t="str">
        <f>VLOOKUP($E$2,Form_PrimeiraFase!$C$2:$FB$69,2,FALSE)</f>
        <v>PSV Eindhoven</v>
      </c>
      <c r="F8" s="32" t="str">
        <f>VLOOKUP($F$2,Form_PrimeiraFase!$C$2:$FB$69,2,FALSE)</f>
        <v>PSV Eindhoven</v>
      </c>
      <c r="G8" s="32" t="str">
        <f>VLOOKUP($G$2,Form_PrimeiraFase!$C$2:$FB$69,2,FALSE)</f>
        <v>PSV Eindhoven</v>
      </c>
      <c r="H8" s="32" t="str">
        <f>VLOOKUP($H$2,Form_PrimeiraFase!$C$2:$FB$69,2,FALSE)</f>
        <v>PSV Eindhoven</v>
      </c>
      <c r="I8" s="32" t="str">
        <f>VLOOKUP($I$2,Form_PrimeiraFase!$C$2:$FB$69,2,FALSE)</f>
        <v>PSV Eindhoven</v>
      </c>
      <c r="J8" s="32" t="str">
        <f>VLOOKUP($J$2,Form_PrimeiraFase!$C$2:$FB$69,2,FALSE)</f>
        <v>PSV Eindhoven</v>
      </c>
      <c r="K8" s="32" t="str">
        <f>VLOOKUP($K$2,Form_PrimeiraFase!$C$2:$FB$69,2,FALSE)</f>
        <v>PSV Eindhoven</v>
      </c>
      <c r="L8" s="32" t="str">
        <f>VLOOKUP($L$2,Form_PrimeiraFase!$C$2:$FB$69,2,FALSE)</f>
        <v>PSV Eindhoven</v>
      </c>
      <c r="M8" s="32" t="str">
        <f>VLOOKUP($M$2,Form_PrimeiraFase!$C$2:$FB$69,2,FALSE)</f>
        <v>PSV Eindhoven</v>
      </c>
      <c r="N8" s="32" t="str">
        <f>VLOOKUP($N$2,Form_PrimeiraFase!$C$2:$FB$69,2,FALSE)</f>
        <v>PSV Eindhoven</v>
      </c>
      <c r="O8" s="32" t="str">
        <f>VLOOKUP($O$2,Form_PrimeiraFase!$C$2:$FB$69,2,FALSE)</f>
        <v>PSV Eindhoven</v>
      </c>
      <c r="P8" s="32" t="str">
        <f>VLOOKUP($P$2,Form_PrimeiraFase!$C$2:$FB$69,2,FALSE)</f>
        <v>PSV Eindhoven</v>
      </c>
      <c r="Q8" s="32" t="str">
        <f>VLOOKUP($Q$2,Form_PrimeiraFase!$C$2:$FB$69,2,FALSE)</f>
        <v>PSV Eindhoven</v>
      </c>
      <c r="R8" s="32" t="str">
        <f>VLOOKUP($R$2,Form_PrimeiraFase!$C$2:$FB$69,2,FALSE)</f>
        <v>PSV Eindhoven</v>
      </c>
      <c r="S8" s="32" t="str">
        <f>VLOOKUP($S$2,Form_PrimeiraFase!$C$2:$FB$69,2,FALSE)</f>
        <v>PSV Eindhoven</v>
      </c>
      <c r="T8" s="32" t="str">
        <f>VLOOKUP($T$2,Form_PrimeiraFase!$C$2:$FB$69,2,FALSE)</f>
        <v>PSV Eindhoven</v>
      </c>
      <c r="U8" s="32" t="str">
        <f>VLOOKUP($U$2,Form_PrimeiraFase!$C$2:$FB$69,2,FALSE)</f>
        <v>Empate</v>
      </c>
      <c r="V8" s="32" t="str">
        <f>VLOOKUP($V$2,Form_PrimeiraFase!$C$2:$FB$69,2,FALSE)</f>
        <v>PSV Eindhoven</v>
      </c>
      <c r="W8" s="32" t="str">
        <f>VLOOKUP($W$2,Form_PrimeiraFase!$C$2:$FB$69,2,FALSE)</f>
        <v>PSV Eindhoven</v>
      </c>
      <c r="X8" s="33">
        <f t="shared" ref="X8:Y8" si="27">COUNTIF($C8:$W8,J8)</f>
        <v>20</v>
      </c>
      <c r="Y8" s="33">
        <f t="shared" si="27"/>
        <v>20</v>
      </c>
      <c r="Z8" s="33">
        <f t="shared" si="9"/>
        <v>20</v>
      </c>
      <c r="AA8" s="33">
        <f t="shared" si="10"/>
        <v>20</v>
      </c>
      <c r="AB8" s="33">
        <f t="shared" ref="AB8:AC8" si="28">COUNTIF($C8:$W8,N8)</f>
        <v>20</v>
      </c>
      <c r="AC8" s="33">
        <f t="shared" si="28"/>
        <v>20</v>
      </c>
      <c r="AD8" s="33">
        <f t="shared" si="12"/>
        <v>20</v>
      </c>
      <c r="AE8" s="33">
        <f t="shared" si="13"/>
        <v>20</v>
      </c>
      <c r="AF8" s="33">
        <f t="shared" si="14"/>
        <v>20</v>
      </c>
      <c r="AG8" s="33">
        <f t="shared" si="15"/>
        <v>20</v>
      </c>
      <c r="AH8" s="33">
        <f t="shared" si="16"/>
        <v>20</v>
      </c>
      <c r="AI8" s="33">
        <f t="shared" si="17"/>
        <v>20</v>
      </c>
      <c r="AJ8" s="33">
        <f t="shared" si="18"/>
        <v>20</v>
      </c>
      <c r="AK8" s="33">
        <f t="shared" si="19"/>
        <v>20</v>
      </c>
      <c r="AL8" s="33">
        <f t="shared" si="20"/>
        <v>20</v>
      </c>
      <c r="AM8" s="33">
        <f t="shared" si="21"/>
        <v>20</v>
      </c>
      <c r="AN8" s="33">
        <f t="shared" si="22"/>
        <v>20</v>
      </c>
      <c r="AO8" s="33">
        <f t="shared" ref="AO8:AR8" si="29">COUNTIF($C8:$W8,T8)</f>
        <v>20</v>
      </c>
      <c r="AP8" s="33">
        <f t="shared" si="29"/>
        <v>1</v>
      </c>
      <c r="AQ8" s="33">
        <f t="shared" si="29"/>
        <v>20</v>
      </c>
      <c r="AR8" s="33">
        <f t="shared" si="29"/>
        <v>20</v>
      </c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</row>
    <row r="9" ht="10.5" customHeight="1">
      <c r="A9" s="30" t="s">
        <v>37</v>
      </c>
      <c r="B9" s="31" t="s">
        <v>39</v>
      </c>
      <c r="C9" s="32" t="str">
        <f>VLOOKUP($C$2,Form_PrimeiraFase!$C$2:$FB$69,3,FALSE)</f>
        <v>Arsenal</v>
      </c>
      <c r="D9" s="32" t="str">
        <f>VLOOKUP($D$2,Form_PrimeiraFase!$C$2:$FB$69,3,FALSE)</f>
        <v>Arsenal</v>
      </c>
      <c r="E9" s="32" t="str">
        <f>VLOOKUP($E$2,Form_PrimeiraFase!$C$2:$FB$69,3,FALSE)</f>
        <v>Arsenal</v>
      </c>
      <c r="F9" s="32" t="str">
        <f>VLOOKUP($F$2,Form_PrimeiraFase!$C$2:$FB$69,3,FALSE)</f>
        <v>Arsenal</v>
      </c>
      <c r="G9" s="32" t="str">
        <f>VLOOKUP($G$2,Form_PrimeiraFase!$C$2:$FB$69,3,FALSE)</f>
        <v>Arsenal</v>
      </c>
      <c r="H9" s="32" t="str">
        <f>VLOOKUP($H$2,Form_PrimeiraFase!$C$2:$FB$69,3,FALSE)</f>
        <v>Arsenal</v>
      </c>
      <c r="I9" s="32" t="str">
        <f>VLOOKUP($I$2,Form_PrimeiraFase!$C$2:$FB$69,3,FALSE)</f>
        <v>Arsenal</v>
      </c>
      <c r="J9" s="32" t="str">
        <f>VLOOKUP($J$2,Form_PrimeiraFase!$C$2:$FB$69,3,FALSE)</f>
        <v>Arsenal</v>
      </c>
      <c r="K9" s="32" t="str">
        <f>VLOOKUP($K$2,Form_PrimeiraFase!$C$2:$FB$69,3,FALSE)</f>
        <v>Arsenal</v>
      </c>
      <c r="L9" s="32" t="str">
        <f>VLOOKUP($L$2,Form_PrimeiraFase!$C$2:$FB$69,3,FALSE)</f>
        <v>Arsenal</v>
      </c>
      <c r="M9" s="32" t="str">
        <f>VLOOKUP($M$2,Form_PrimeiraFase!$C$2:$FB$69,3,FALSE)</f>
        <v>Arsenal</v>
      </c>
      <c r="N9" s="32" t="str">
        <f>VLOOKUP($N$2,Form_PrimeiraFase!$C$2:$FB$69,3,FALSE)</f>
        <v>Arsenal</v>
      </c>
      <c r="O9" s="32" t="str">
        <f>VLOOKUP($O$2,Form_PrimeiraFase!$C$2:$FB$69,3,FALSE)</f>
        <v>Arsenal</v>
      </c>
      <c r="P9" s="32" t="str">
        <f>VLOOKUP($P$2,Form_PrimeiraFase!$C$2:$FB$69,3,FALSE)</f>
        <v>Empate</v>
      </c>
      <c r="Q9" s="32" t="str">
        <f>VLOOKUP($Q$2,Form_PrimeiraFase!$C$2:$FB$69,3,FALSE)</f>
        <v>Arsenal</v>
      </c>
      <c r="R9" s="32" t="str">
        <f>VLOOKUP($R$2,Form_PrimeiraFase!$C$2:$FB$69,3,FALSE)</f>
        <v>Arsenal</v>
      </c>
      <c r="S9" s="32" t="str">
        <f>VLOOKUP($S$2,Form_PrimeiraFase!$C$2:$FB$69,3,FALSE)</f>
        <v>Arsenal</v>
      </c>
      <c r="T9" s="32" t="str">
        <f>VLOOKUP($T$2,Form_PrimeiraFase!$C$2:$FB$69,3,FALSE)</f>
        <v>Arsenal</v>
      </c>
      <c r="U9" s="32" t="str">
        <f>VLOOKUP($U$2,Form_PrimeiraFase!$C$2:$FB$69,3,FALSE)</f>
        <v>Empate</v>
      </c>
      <c r="V9" s="32" t="str">
        <f>VLOOKUP($V$2,Form_PrimeiraFase!$C$2:$FB$69,3,FALSE)</f>
        <v>Arsenal</v>
      </c>
      <c r="W9" s="32" t="str">
        <f>VLOOKUP($W$2,Form_PrimeiraFase!$C$2:$FB$69,3,FALSE)</f>
        <v>Arsenal</v>
      </c>
      <c r="X9" s="33">
        <f t="shared" ref="X9:Y9" si="30">COUNTIF($C9:$W9,J9)</f>
        <v>19</v>
      </c>
      <c r="Y9" s="33">
        <f t="shared" si="30"/>
        <v>19</v>
      </c>
      <c r="Z9" s="33">
        <f t="shared" si="9"/>
        <v>19</v>
      </c>
      <c r="AA9" s="33">
        <f t="shared" si="10"/>
        <v>19</v>
      </c>
      <c r="AB9" s="33">
        <f t="shared" ref="AB9:AC9" si="31">COUNTIF($C9:$W9,N9)</f>
        <v>19</v>
      </c>
      <c r="AC9" s="33">
        <f t="shared" si="31"/>
        <v>19</v>
      </c>
      <c r="AD9" s="33">
        <f t="shared" si="12"/>
        <v>19</v>
      </c>
      <c r="AE9" s="33">
        <f t="shared" si="13"/>
        <v>19</v>
      </c>
      <c r="AF9" s="33">
        <f t="shared" si="14"/>
        <v>19</v>
      </c>
      <c r="AG9" s="33">
        <f t="shared" si="15"/>
        <v>19</v>
      </c>
      <c r="AH9" s="33">
        <f t="shared" si="16"/>
        <v>19</v>
      </c>
      <c r="AI9" s="33">
        <f t="shared" si="17"/>
        <v>2</v>
      </c>
      <c r="AJ9" s="33">
        <f t="shared" si="18"/>
        <v>19</v>
      </c>
      <c r="AK9" s="33">
        <f t="shared" si="19"/>
        <v>19</v>
      </c>
      <c r="AL9" s="33">
        <f t="shared" si="20"/>
        <v>19</v>
      </c>
      <c r="AM9" s="33">
        <f t="shared" si="21"/>
        <v>19</v>
      </c>
      <c r="AN9" s="33">
        <f t="shared" si="22"/>
        <v>19</v>
      </c>
      <c r="AO9" s="33">
        <f t="shared" ref="AO9:AR9" si="32">COUNTIF($C9:$W9,T9)</f>
        <v>19</v>
      </c>
      <c r="AP9" s="33">
        <f t="shared" si="32"/>
        <v>2</v>
      </c>
      <c r="AQ9" s="33">
        <f t="shared" si="32"/>
        <v>19</v>
      </c>
      <c r="AR9" s="33">
        <f t="shared" si="32"/>
        <v>19</v>
      </c>
      <c r="AS9" s="34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</row>
    <row r="10" ht="10.5" customHeight="1">
      <c r="A10" s="30" t="s">
        <v>37</v>
      </c>
      <c r="B10" s="31" t="s">
        <v>40</v>
      </c>
      <c r="C10" s="32" t="str">
        <f>VLOOKUP($C$2,Form_PrimeiraFase!$C$2:$FB$69,4,FALSE)</f>
        <v>Real Madrid</v>
      </c>
      <c r="D10" s="32" t="str">
        <f>VLOOKUP($D$2,Form_PrimeiraFase!$C$2:$FB$69,4,FALSE)</f>
        <v>Real Madrid</v>
      </c>
      <c r="E10" s="32" t="str">
        <f>VLOOKUP($E$2,Form_PrimeiraFase!$C$2:$FB$69,4,FALSE)</f>
        <v>Real Madrid</v>
      </c>
      <c r="F10" s="32" t="str">
        <f>VLOOKUP($F$2,Form_PrimeiraFase!$C$2:$FB$69,4,FALSE)</f>
        <v>Real Madrid</v>
      </c>
      <c r="G10" s="32" t="str">
        <f>VLOOKUP($G$2,Form_PrimeiraFase!$C$2:$FB$69,4,FALSE)</f>
        <v>Real Madrid</v>
      </c>
      <c r="H10" s="32" t="str">
        <f>VLOOKUP($H$2,Form_PrimeiraFase!$C$2:$FB$69,4,FALSE)</f>
        <v>Real Madrid</v>
      </c>
      <c r="I10" s="32" t="str">
        <f>VLOOKUP($I$2,Form_PrimeiraFase!$C$2:$FB$69,4,FALSE)</f>
        <v>Real Madrid</v>
      </c>
      <c r="J10" s="32" t="str">
        <f>VLOOKUP($J$2,Form_PrimeiraFase!$C$2:$FB$69,4,FALSE)</f>
        <v>Real Madrid</v>
      </c>
      <c r="K10" s="32" t="str">
        <f>VLOOKUP($K$2,Form_PrimeiraFase!$C$2:$FB$69,4,FALSE)</f>
        <v>Real Madrid</v>
      </c>
      <c r="L10" s="32" t="str">
        <f>VLOOKUP($L$2,Form_PrimeiraFase!$C$2:$FB$69,4,FALSE)</f>
        <v>Real Madrid</v>
      </c>
      <c r="M10" s="32" t="str">
        <f>VLOOKUP($M$2,Form_PrimeiraFase!$C$2:$FB$69,4,FALSE)</f>
        <v>Real Madrid</v>
      </c>
      <c r="N10" s="32" t="str">
        <f>VLOOKUP($N$2,Form_PrimeiraFase!$C$2:$FB$69,4,FALSE)</f>
        <v>Real Madrid</v>
      </c>
      <c r="O10" s="32" t="str">
        <f>VLOOKUP($O$2,Form_PrimeiraFase!$C$2:$FB$69,4,FALSE)</f>
        <v>Real Madrid</v>
      </c>
      <c r="P10" s="32" t="str">
        <f>VLOOKUP($P$2,Form_PrimeiraFase!$C$2:$FB$69,4,FALSE)</f>
        <v>Real Madrid</v>
      </c>
      <c r="Q10" s="32" t="str">
        <f>VLOOKUP($Q$2,Form_PrimeiraFase!$C$2:$FB$69,4,FALSE)</f>
        <v>Real Madrid</v>
      </c>
      <c r="R10" s="32" t="str">
        <f>VLOOKUP($R$2,Form_PrimeiraFase!$C$2:$FB$69,4,FALSE)</f>
        <v>Real Madrid</v>
      </c>
      <c r="S10" s="32" t="str">
        <f>VLOOKUP($S$2,Form_PrimeiraFase!$C$2:$FB$69,4,FALSE)</f>
        <v>Real Madrid</v>
      </c>
      <c r="T10" s="32" t="str">
        <f>VLOOKUP($T$2,Form_PrimeiraFase!$C$2:$FB$69,4,FALSE)</f>
        <v>Real Madrid</v>
      </c>
      <c r="U10" s="32" t="str">
        <f>VLOOKUP($U$2,Form_PrimeiraFase!$C$2:$FB$69,4,FALSE)</f>
        <v>Real Madrid</v>
      </c>
      <c r="V10" s="32" t="str">
        <f>VLOOKUP($V$2,Form_PrimeiraFase!$C$2:$FB$69,4,FALSE)</f>
        <v>Real Madrid</v>
      </c>
      <c r="W10" s="32" t="str">
        <f>VLOOKUP($W$2,Form_PrimeiraFase!$C$2:$FB$69,4,FALSE)</f>
        <v>Real Madrid</v>
      </c>
      <c r="X10" s="33">
        <f t="shared" ref="X10:Y10" si="33">COUNTIF($C10:$W10,J10)</f>
        <v>21</v>
      </c>
      <c r="Y10" s="33">
        <f t="shared" si="33"/>
        <v>21</v>
      </c>
      <c r="Z10" s="33">
        <f t="shared" si="9"/>
        <v>21</v>
      </c>
      <c r="AA10" s="33">
        <f t="shared" si="10"/>
        <v>21</v>
      </c>
      <c r="AB10" s="33">
        <f t="shared" ref="AB10:AC10" si="34">COUNTIF($C10:$W10,N10)</f>
        <v>21</v>
      </c>
      <c r="AC10" s="33">
        <f t="shared" si="34"/>
        <v>21</v>
      </c>
      <c r="AD10" s="33">
        <f t="shared" si="12"/>
        <v>21</v>
      </c>
      <c r="AE10" s="33">
        <f t="shared" si="13"/>
        <v>21</v>
      </c>
      <c r="AF10" s="33">
        <f t="shared" si="14"/>
        <v>21</v>
      </c>
      <c r="AG10" s="33">
        <f t="shared" si="15"/>
        <v>21</v>
      </c>
      <c r="AH10" s="33">
        <f t="shared" si="16"/>
        <v>21</v>
      </c>
      <c r="AI10" s="33">
        <f t="shared" si="17"/>
        <v>21</v>
      </c>
      <c r="AJ10" s="33">
        <f t="shared" si="18"/>
        <v>21</v>
      </c>
      <c r="AK10" s="33">
        <f t="shared" si="19"/>
        <v>21</v>
      </c>
      <c r="AL10" s="33">
        <f t="shared" si="20"/>
        <v>21</v>
      </c>
      <c r="AM10" s="33">
        <f t="shared" si="21"/>
        <v>21</v>
      </c>
      <c r="AN10" s="33">
        <f t="shared" si="22"/>
        <v>21</v>
      </c>
      <c r="AO10" s="33">
        <f t="shared" ref="AO10:AR10" si="35">COUNTIF($C10:$W10,T10)</f>
        <v>21</v>
      </c>
      <c r="AP10" s="33">
        <f t="shared" si="35"/>
        <v>21</v>
      </c>
      <c r="AQ10" s="33">
        <f t="shared" si="35"/>
        <v>21</v>
      </c>
      <c r="AR10" s="33">
        <f t="shared" si="35"/>
        <v>21</v>
      </c>
      <c r="AS10" s="35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ht="10.5" customHeight="1">
      <c r="A11" s="30" t="s">
        <v>37</v>
      </c>
      <c r="B11" s="31" t="s">
        <v>41</v>
      </c>
      <c r="C11" s="32" t="str">
        <f>VLOOKUP($C$2,Form_PrimeiraFase!$C$2:$FB$69,5,FALSE)</f>
        <v>Benfica</v>
      </c>
      <c r="D11" s="32" t="str">
        <f>VLOOKUP($D$2,Form_PrimeiraFase!$C$2:$FB$69,5,FALSE)</f>
        <v>Benfica</v>
      </c>
      <c r="E11" s="32" t="str">
        <f>VLOOKUP($E$2,Form_PrimeiraFase!$C$2:$FB$69,5,FALSE)</f>
        <v>Benfica</v>
      </c>
      <c r="F11" s="32" t="str">
        <f>VLOOKUP($F$2,Form_PrimeiraFase!$C$2:$FB$69,5,FALSE)</f>
        <v>Benfica</v>
      </c>
      <c r="G11" s="32" t="str">
        <f>VLOOKUP($G$2,Form_PrimeiraFase!$C$2:$FB$69,5,FALSE)</f>
        <v>Benfica</v>
      </c>
      <c r="H11" s="32" t="str">
        <f>VLOOKUP($H$2,Form_PrimeiraFase!$C$2:$FB$69,5,FALSE)</f>
        <v>Benfica</v>
      </c>
      <c r="I11" s="32" t="str">
        <f>VLOOKUP($I$2,Form_PrimeiraFase!$C$2:$FB$69,5,FALSE)</f>
        <v>Benfica</v>
      </c>
      <c r="J11" s="32" t="str">
        <f>VLOOKUP($J$2,Form_PrimeiraFase!$C$2:$FB$69,5,FALSE)</f>
        <v>Benfica</v>
      </c>
      <c r="K11" s="32" t="str">
        <f>VLOOKUP($K$2,Form_PrimeiraFase!$C$2:$FB$69,5,FALSE)</f>
        <v>Benfica</v>
      </c>
      <c r="L11" s="32" t="str">
        <f>VLOOKUP($L$2,Form_PrimeiraFase!$C$2:$FB$69,5,FALSE)</f>
        <v>Benfica</v>
      </c>
      <c r="M11" s="32" t="str">
        <f>VLOOKUP($M$2,Form_PrimeiraFase!$C$2:$FB$69,5,FALSE)</f>
        <v>Benfica</v>
      </c>
      <c r="N11" s="32" t="str">
        <f>VLOOKUP($N$2,Form_PrimeiraFase!$C$2:$FB$69,5,FALSE)</f>
        <v>Benfica</v>
      </c>
      <c r="O11" s="32" t="str">
        <f>VLOOKUP($O$2,Form_PrimeiraFase!$C$2:$FB$69,5,FALSE)</f>
        <v>Benfica</v>
      </c>
      <c r="P11" s="32" t="str">
        <f>VLOOKUP($P$2,Form_PrimeiraFase!$C$2:$FB$69,5,FALSE)</f>
        <v>Benfica</v>
      </c>
      <c r="Q11" s="32" t="str">
        <f>VLOOKUP($Q$2,Form_PrimeiraFase!$C$2:$FB$69,5,FALSE)</f>
        <v>Benfica</v>
      </c>
      <c r="R11" s="32" t="str">
        <f>VLOOKUP($R$2,Form_PrimeiraFase!$C$2:$FB$69,5,FALSE)</f>
        <v>Benfica</v>
      </c>
      <c r="S11" s="32" t="str">
        <f>VLOOKUP($S$2,Form_PrimeiraFase!$C$2:$FB$69,5,FALSE)</f>
        <v>Benfica</v>
      </c>
      <c r="T11" s="32" t="str">
        <f>VLOOKUP($T$2,Form_PrimeiraFase!$C$2:$FB$69,5,FALSE)</f>
        <v>Benfica</v>
      </c>
      <c r="U11" s="32" t="str">
        <f>VLOOKUP($U$2,Form_PrimeiraFase!$C$2:$FB$69,5,FALSE)</f>
        <v>Benfica</v>
      </c>
      <c r="V11" s="32" t="str">
        <f>VLOOKUP($V$2,Form_PrimeiraFase!$C$2:$FB$69,5,FALSE)</f>
        <v>Benfica</v>
      </c>
      <c r="W11" s="32" t="str">
        <f>VLOOKUP($W$2,Form_PrimeiraFase!$C$2:$FB$69,5,FALSE)</f>
        <v>Benfica</v>
      </c>
      <c r="X11" s="33">
        <f t="shared" ref="X11:Y11" si="36">COUNTIF($C11:$W11,J11)</f>
        <v>21</v>
      </c>
      <c r="Y11" s="33">
        <f t="shared" si="36"/>
        <v>21</v>
      </c>
      <c r="Z11" s="33">
        <f t="shared" si="9"/>
        <v>21</v>
      </c>
      <c r="AA11" s="33">
        <f t="shared" si="10"/>
        <v>21</v>
      </c>
      <c r="AB11" s="33">
        <f t="shared" ref="AB11:AC11" si="37">COUNTIF($C11:$W11,N11)</f>
        <v>21</v>
      </c>
      <c r="AC11" s="33">
        <f t="shared" si="37"/>
        <v>21</v>
      </c>
      <c r="AD11" s="33">
        <f t="shared" si="12"/>
        <v>21</v>
      </c>
      <c r="AE11" s="33">
        <f t="shared" si="13"/>
        <v>21</v>
      </c>
      <c r="AF11" s="33">
        <f t="shared" si="14"/>
        <v>21</v>
      </c>
      <c r="AG11" s="33">
        <f t="shared" si="15"/>
        <v>21</v>
      </c>
      <c r="AH11" s="33">
        <f t="shared" si="16"/>
        <v>21</v>
      </c>
      <c r="AI11" s="33">
        <f t="shared" si="17"/>
        <v>21</v>
      </c>
      <c r="AJ11" s="33">
        <f t="shared" si="18"/>
        <v>21</v>
      </c>
      <c r="AK11" s="33">
        <f t="shared" si="19"/>
        <v>21</v>
      </c>
      <c r="AL11" s="33">
        <f t="shared" si="20"/>
        <v>21</v>
      </c>
      <c r="AM11" s="33">
        <f t="shared" si="21"/>
        <v>21</v>
      </c>
      <c r="AN11" s="33">
        <f t="shared" si="22"/>
        <v>21</v>
      </c>
      <c r="AO11" s="33">
        <f t="shared" ref="AO11:AR11" si="38">COUNTIF($C11:$W11,T11)</f>
        <v>21</v>
      </c>
      <c r="AP11" s="33">
        <f t="shared" si="38"/>
        <v>21</v>
      </c>
      <c r="AQ11" s="33">
        <f t="shared" si="38"/>
        <v>21</v>
      </c>
      <c r="AR11" s="33">
        <f t="shared" si="38"/>
        <v>21</v>
      </c>
      <c r="AS11" s="35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</row>
    <row r="12" ht="10.5" customHeight="1">
      <c r="A12" s="30" t="s">
        <v>37</v>
      </c>
      <c r="B12" s="31" t="s">
        <v>42</v>
      </c>
      <c r="C12" s="32" t="str">
        <f>VLOOKUP($C$2,Form_PrimeiraFase!$C$2:$FB$69,6,FALSE)</f>
        <v>Juventus</v>
      </c>
      <c r="D12" s="32" t="str">
        <f>VLOOKUP($D$2,Form_PrimeiraFase!$C$2:$FB$69,6,FALSE)</f>
        <v>Juventus</v>
      </c>
      <c r="E12" s="32" t="str">
        <f>VLOOKUP($E$2,Form_PrimeiraFase!$C$2:$FB$69,6,FALSE)</f>
        <v>Borussia Dortmund</v>
      </c>
      <c r="F12" s="32" t="str">
        <f>VLOOKUP($F$2,Form_PrimeiraFase!$C$2:$FB$69,6,FALSE)</f>
        <v>Juventus</v>
      </c>
      <c r="G12" s="32" t="str">
        <f>VLOOKUP($G$2,Form_PrimeiraFase!$C$2:$FB$69,6,FALSE)</f>
        <v>Juventus</v>
      </c>
      <c r="H12" s="32" t="str">
        <f>VLOOKUP($H$2,Form_PrimeiraFase!$C$2:$FB$69,6,FALSE)</f>
        <v>Juventus</v>
      </c>
      <c r="I12" s="32" t="str">
        <f>VLOOKUP($I$2,Form_PrimeiraFase!$C$2:$FB$69,6,FALSE)</f>
        <v>Borussia Dortmund</v>
      </c>
      <c r="J12" s="32" t="str">
        <f>VLOOKUP($J$2,Form_PrimeiraFase!$C$2:$FB$69,6,FALSE)</f>
        <v>Juventus</v>
      </c>
      <c r="K12" s="32" t="str">
        <f>VLOOKUP($K$2,Form_PrimeiraFase!$C$2:$FB$69,6,FALSE)</f>
        <v>Borussia Dortmund</v>
      </c>
      <c r="L12" s="32" t="str">
        <f>VLOOKUP($L$2,Form_PrimeiraFase!$C$2:$FB$69,6,FALSE)</f>
        <v>Juventus</v>
      </c>
      <c r="M12" s="32" t="str">
        <f>VLOOKUP($M$2,Form_PrimeiraFase!$C$2:$FB$69,6,FALSE)</f>
        <v>Juventus</v>
      </c>
      <c r="N12" s="32" t="str">
        <f>VLOOKUP($N$2,Form_PrimeiraFase!$C$2:$FB$69,6,FALSE)</f>
        <v>Juventus</v>
      </c>
      <c r="O12" s="32" t="str">
        <f>VLOOKUP($O$2,Form_PrimeiraFase!$C$2:$FB$69,6,FALSE)</f>
        <v>Empate</v>
      </c>
      <c r="P12" s="32" t="str">
        <f>VLOOKUP($P$2,Form_PrimeiraFase!$C$2:$FB$69,6,FALSE)</f>
        <v>Juventus</v>
      </c>
      <c r="Q12" s="32" t="str">
        <f>VLOOKUP($Q$2,Form_PrimeiraFase!$C$2:$FB$69,6,FALSE)</f>
        <v>Juventus</v>
      </c>
      <c r="R12" s="32" t="str">
        <f>VLOOKUP($R$2,Form_PrimeiraFase!$C$2:$FB$69,6,FALSE)</f>
        <v>Borussia Dortmund</v>
      </c>
      <c r="S12" s="32" t="str">
        <f>VLOOKUP($S$2,Form_PrimeiraFase!$C$2:$FB$69,6,FALSE)</f>
        <v>Juventus</v>
      </c>
      <c r="T12" s="32" t="str">
        <f>VLOOKUP($T$2,Form_PrimeiraFase!$C$2:$FB$69,6,FALSE)</f>
        <v>Borussia Dortmund</v>
      </c>
      <c r="U12" s="32" t="str">
        <f>VLOOKUP($U$2,Form_PrimeiraFase!$C$2:$FB$69,6,FALSE)</f>
        <v>Empate</v>
      </c>
      <c r="V12" s="32" t="str">
        <f>VLOOKUP($V$2,Form_PrimeiraFase!$C$2:$FB$69,6,FALSE)</f>
        <v>Borussia Dortmund</v>
      </c>
      <c r="W12" s="32" t="str">
        <f>VLOOKUP($W$2,Form_PrimeiraFase!$C$2:$FB$69,6,FALSE)</f>
        <v>Empate</v>
      </c>
      <c r="X12" s="33">
        <f t="shared" ref="X12:Y12" si="39">COUNTIF($C12:$W12,J12)</f>
        <v>12</v>
      </c>
      <c r="Y12" s="33">
        <f t="shared" si="39"/>
        <v>6</v>
      </c>
      <c r="Z12" s="33">
        <f t="shared" si="9"/>
        <v>6</v>
      </c>
      <c r="AA12" s="33">
        <f t="shared" si="10"/>
        <v>12</v>
      </c>
      <c r="AB12" s="33">
        <f t="shared" ref="AB12:AC12" si="40">COUNTIF($C12:$W12,N12)</f>
        <v>12</v>
      </c>
      <c r="AC12" s="33">
        <f t="shared" si="40"/>
        <v>3</v>
      </c>
      <c r="AD12" s="33">
        <f t="shared" si="12"/>
        <v>12</v>
      </c>
      <c r="AE12" s="33">
        <f t="shared" si="13"/>
        <v>12</v>
      </c>
      <c r="AF12" s="33">
        <f t="shared" si="14"/>
        <v>6</v>
      </c>
      <c r="AG12" s="33">
        <f t="shared" si="15"/>
        <v>12</v>
      </c>
      <c r="AH12" s="33">
        <f t="shared" si="16"/>
        <v>12</v>
      </c>
      <c r="AI12" s="33">
        <f t="shared" si="17"/>
        <v>12</v>
      </c>
      <c r="AJ12" s="33">
        <f t="shared" si="18"/>
        <v>12</v>
      </c>
      <c r="AK12" s="33">
        <f t="shared" si="19"/>
        <v>6</v>
      </c>
      <c r="AL12" s="33">
        <f t="shared" si="20"/>
        <v>12</v>
      </c>
      <c r="AM12" s="33">
        <f t="shared" si="21"/>
        <v>12</v>
      </c>
      <c r="AN12" s="33">
        <f t="shared" si="22"/>
        <v>12</v>
      </c>
      <c r="AO12" s="33">
        <f t="shared" ref="AO12:AR12" si="41">COUNTIF($C12:$W12,T12)</f>
        <v>6</v>
      </c>
      <c r="AP12" s="33">
        <f t="shared" si="41"/>
        <v>3</v>
      </c>
      <c r="AQ12" s="33">
        <f t="shared" si="41"/>
        <v>6</v>
      </c>
      <c r="AR12" s="33">
        <f t="shared" si="41"/>
        <v>3</v>
      </c>
      <c r="AS12" s="35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ht="10.5" customHeight="1">
      <c r="A13" s="30" t="s">
        <v>37</v>
      </c>
      <c r="B13" s="32" t="s">
        <v>43</v>
      </c>
      <c r="C13" s="32" t="str">
        <f>VLOOKUP($C$2,Form_PrimeiraFase!$C$2:$FB$69,7,FALSE)</f>
        <v>Tottenham</v>
      </c>
      <c r="D13" s="32" t="str">
        <f>VLOOKUP($D$2,Form_PrimeiraFase!$C$2:$FB$69,7,FALSE)</f>
        <v>Tottenham</v>
      </c>
      <c r="E13" s="32" t="str">
        <f>VLOOKUP($E$2,Form_PrimeiraFase!$C$2:$FB$69,7,FALSE)</f>
        <v>Tottenham</v>
      </c>
      <c r="F13" s="32" t="str">
        <f>VLOOKUP($F$2,Form_PrimeiraFase!$C$2:$FB$69,7,FALSE)</f>
        <v>Tottenham</v>
      </c>
      <c r="G13" s="32" t="str">
        <f>VLOOKUP($G$2,Form_PrimeiraFase!$C$2:$FB$69,7,FALSE)</f>
        <v>Tottenham</v>
      </c>
      <c r="H13" s="32" t="str">
        <f>VLOOKUP($H$2,Form_PrimeiraFase!$C$2:$FB$69,7,FALSE)</f>
        <v>Tottenham</v>
      </c>
      <c r="I13" s="32" t="str">
        <f>VLOOKUP($I$2,Form_PrimeiraFase!$C$2:$FB$69,7,FALSE)</f>
        <v>Tottenham</v>
      </c>
      <c r="J13" s="32" t="str">
        <f>VLOOKUP($J$2,Form_PrimeiraFase!$C$2:$FB$69,7,FALSE)</f>
        <v>Empate</v>
      </c>
      <c r="K13" s="32" t="str">
        <f>VLOOKUP($K$2,Form_PrimeiraFase!$C$2:$FB$69,7,FALSE)</f>
        <v>Tottenham</v>
      </c>
      <c r="L13" s="32" t="str">
        <f>VLOOKUP($L$2,Form_PrimeiraFase!$C$2:$FB$69,7,FALSE)</f>
        <v>Tottenham</v>
      </c>
      <c r="M13" s="32" t="str">
        <f>VLOOKUP($M$2,Form_PrimeiraFase!$C$2:$FB$69,7,FALSE)</f>
        <v>Empate</v>
      </c>
      <c r="N13" s="32" t="str">
        <f>VLOOKUP($N$2,Form_PrimeiraFase!$C$2:$FB$69,7,FALSE)</f>
        <v>Tottenham</v>
      </c>
      <c r="O13" s="32" t="str">
        <f>VLOOKUP($O$2,Form_PrimeiraFase!$C$2:$FB$69,7,FALSE)</f>
        <v>Tottenham</v>
      </c>
      <c r="P13" s="32" t="str">
        <f>VLOOKUP($P$2,Form_PrimeiraFase!$C$2:$FB$69,7,FALSE)</f>
        <v>Tottenham</v>
      </c>
      <c r="Q13" s="32" t="str">
        <f>VLOOKUP($Q$2,Form_PrimeiraFase!$C$2:$FB$69,7,FALSE)</f>
        <v>Villarreal</v>
      </c>
      <c r="R13" s="32" t="str">
        <f>VLOOKUP($R$2,Form_PrimeiraFase!$C$2:$FB$69,7,FALSE)</f>
        <v>Tottenham</v>
      </c>
      <c r="S13" s="32" t="str">
        <f>VLOOKUP($S$2,Form_PrimeiraFase!$C$2:$FB$69,7,FALSE)</f>
        <v>Tottenham</v>
      </c>
      <c r="T13" s="32" t="str">
        <f>VLOOKUP($T$2,Form_PrimeiraFase!$C$2:$FB$69,7,FALSE)</f>
        <v>Empate</v>
      </c>
      <c r="U13" s="32" t="str">
        <f>VLOOKUP($U$2,Form_PrimeiraFase!$C$2:$FB$69,7,FALSE)</f>
        <v>Empate</v>
      </c>
      <c r="V13" s="32" t="str">
        <f>VLOOKUP($V$2,Form_PrimeiraFase!$C$2:$FB$69,7,FALSE)</f>
        <v>Tottenham</v>
      </c>
      <c r="W13" s="32" t="str">
        <f>VLOOKUP($W$2,Form_PrimeiraFase!$C$2:$FB$69,7,FALSE)</f>
        <v>Tottenham</v>
      </c>
      <c r="X13" s="33">
        <f t="shared" ref="X13:Y13" si="42">COUNTIF($C13:$W13,J13)</f>
        <v>4</v>
      </c>
      <c r="Y13" s="33">
        <f t="shared" si="42"/>
        <v>16</v>
      </c>
      <c r="Z13" s="33">
        <f t="shared" si="9"/>
        <v>16</v>
      </c>
      <c r="AA13" s="33">
        <f t="shared" si="10"/>
        <v>16</v>
      </c>
      <c r="AB13" s="33">
        <f t="shared" ref="AB13:AC13" si="43">COUNTIF($C13:$W13,N13)</f>
        <v>16</v>
      </c>
      <c r="AC13" s="33">
        <f t="shared" si="43"/>
        <v>16</v>
      </c>
      <c r="AD13" s="33">
        <f t="shared" si="12"/>
        <v>16</v>
      </c>
      <c r="AE13" s="33">
        <f t="shared" si="13"/>
        <v>16</v>
      </c>
      <c r="AF13" s="33">
        <f t="shared" si="14"/>
        <v>16</v>
      </c>
      <c r="AG13" s="33">
        <f t="shared" si="15"/>
        <v>16</v>
      </c>
      <c r="AH13" s="33">
        <f t="shared" si="16"/>
        <v>16</v>
      </c>
      <c r="AI13" s="33">
        <f t="shared" si="17"/>
        <v>16</v>
      </c>
      <c r="AJ13" s="33">
        <f t="shared" si="18"/>
        <v>4</v>
      </c>
      <c r="AK13" s="33">
        <f t="shared" si="19"/>
        <v>16</v>
      </c>
      <c r="AL13" s="33">
        <f t="shared" si="20"/>
        <v>1</v>
      </c>
      <c r="AM13" s="33">
        <f t="shared" si="21"/>
        <v>16</v>
      </c>
      <c r="AN13" s="33">
        <f t="shared" si="22"/>
        <v>16</v>
      </c>
      <c r="AO13" s="33">
        <f t="shared" ref="AO13:AR13" si="44">COUNTIF($C13:$W13,T13)</f>
        <v>4</v>
      </c>
      <c r="AP13" s="33">
        <f t="shared" si="44"/>
        <v>4</v>
      </c>
      <c r="AQ13" s="33">
        <f t="shared" si="44"/>
        <v>16</v>
      </c>
      <c r="AR13" s="33">
        <f t="shared" si="44"/>
        <v>16</v>
      </c>
      <c r="AS13" s="35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</row>
    <row r="14" ht="10.5" customHeight="1">
      <c r="A14" s="30" t="s">
        <v>37</v>
      </c>
      <c r="B14" s="31" t="s">
        <v>42</v>
      </c>
      <c r="C14" s="32" t="str">
        <f>VLOOKUP($C$2,Form_PrimeiraFase!$C$2:$FB$69,8,FALSE)</f>
        <v>Olympiacos</v>
      </c>
      <c r="D14" s="32" t="str">
        <f>VLOOKUP($D$2,Form_PrimeiraFase!$C$2:$FB$69,8,FALSE)</f>
        <v>Olympiacos</v>
      </c>
      <c r="E14" s="32" t="str">
        <f>VLOOKUP($E$2,Form_PrimeiraFase!$C$2:$FB$69,8,FALSE)</f>
        <v>Olympiacos</v>
      </c>
      <c r="F14" s="32" t="str">
        <f>VLOOKUP($F$2,Form_PrimeiraFase!$C$2:$FB$69,8,FALSE)</f>
        <v>Olympiacos</v>
      </c>
      <c r="G14" s="32" t="str">
        <f>VLOOKUP($G$2,Form_PrimeiraFase!$C$2:$FB$69,8,FALSE)</f>
        <v>Olympiacos</v>
      </c>
      <c r="H14" s="32" t="str">
        <f>VLOOKUP($H$2,Form_PrimeiraFase!$C$2:$FB$69,8,FALSE)</f>
        <v>Olympiacos</v>
      </c>
      <c r="I14" s="32" t="str">
        <f>VLOOKUP($I$2,Form_PrimeiraFase!$C$2:$FB$69,8,FALSE)</f>
        <v>Olympiacos</v>
      </c>
      <c r="J14" s="32" t="str">
        <f>VLOOKUP($J$2,Form_PrimeiraFase!$C$2:$FB$69,8,FALSE)</f>
        <v>Olympiacos</v>
      </c>
      <c r="K14" s="32" t="str">
        <f>VLOOKUP($K$2,Form_PrimeiraFase!$C$2:$FB$69,8,FALSE)</f>
        <v>Olympiacos</v>
      </c>
      <c r="L14" s="32" t="str">
        <f>VLOOKUP($L$2,Form_PrimeiraFase!$C$2:$FB$69,8,FALSE)</f>
        <v>Olympiacos</v>
      </c>
      <c r="M14" s="32" t="str">
        <f>VLOOKUP($M$2,Form_PrimeiraFase!$C$2:$FB$69,8,FALSE)</f>
        <v>Olympiacos</v>
      </c>
      <c r="N14" s="32" t="str">
        <f>VLOOKUP($N$2,Form_PrimeiraFase!$C$2:$FB$69,8,FALSE)</f>
        <v>Olympiacos</v>
      </c>
      <c r="O14" s="32" t="str">
        <f>VLOOKUP($O$2,Form_PrimeiraFase!$C$2:$FB$69,8,FALSE)</f>
        <v>Empate</v>
      </c>
      <c r="P14" s="32" t="str">
        <f>VLOOKUP($P$2,Form_PrimeiraFase!$C$2:$FB$69,8,FALSE)</f>
        <v>Olympiacos</v>
      </c>
      <c r="Q14" s="32" t="str">
        <f>VLOOKUP($Q$2,Form_PrimeiraFase!$C$2:$FB$69,8,FALSE)</f>
        <v>Olympiacos</v>
      </c>
      <c r="R14" s="32" t="str">
        <f>VLOOKUP($R$2,Form_PrimeiraFase!$C$2:$FB$69,8,FALSE)</f>
        <v>Empate</v>
      </c>
      <c r="S14" s="32" t="str">
        <f>VLOOKUP($S$2,Form_PrimeiraFase!$C$2:$FB$69,8,FALSE)</f>
        <v>Empate</v>
      </c>
      <c r="T14" s="32" t="str">
        <f>VLOOKUP($T$2,Form_PrimeiraFase!$C$2:$FB$69,8,FALSE)</f>
        <v>Olympiacos</v>
      </c>
      <c r="U14" s="32" t="str">
        <f>VLOOKUP($U$2,Form_PrimeiraFase!$C$2:$FB$69,8,FALSE)</f>
        <v>Empate</v>
      </c>
      <c r="V14" s="32" t="str">
        <f>VLOOKUP($V$2,Form_PrimeiraFase!$C$2:$FB$69,8,FALSE)</f>
        <v>Olympiacos</v>
      </c>
      <c r="W14" s="32" t="str">
        <f>VLOOKUP($W$2,Form_PrimeiraFase!$C$2:$FB$69,8,FALSE)</f>
        <v>Olympiacos</v>
      </c>
      <c r="X14" s="33">
        <f t="shared" ref="X14:Y14" si="45">COUNTIF($C14:$W14,J14)</f>
        <v>17</v>
      </c>
      <c r="Y14" s="33">
        <f t="shared" si="45"/>
        <v>17</v>
      </c>
      <c r="Z14" s="33">
        <f t="shared" si="9"/>
        <v>4</v>
      </c>
      <c r="AA14" s="33">
        <f t="shared" si="10"/>
        <v>17</v>
      </c>
      <c r="AB14" s="33">
        <f t="shared" ref="AB14:AC14" si="46">COUNTIF($C14:$W14,N14)</f>
        <v>17</v>
      </c>
      <c r="AC14" s="33">
        <f t="shared" si="46"/>
        <v>4</v>
      </c>
      <c r="AD14" s="33">
        <f t="shared" si="12"/>
        <v>17</v>
      </c>
      <c r="AE14" s="33">
        <f t="shared" si="13"/>
        <v>17</v>
      </c>
      <c r="AF14" s="33">
        <f t="shared" si="14"/>
        <v>17</v>
      </c>
      <c r="AG14" s="33">
        <f t="shared" si="15"/>
        <v>4</v>
      </c>
      <c r="AH14" s="33">
        <f t="shared" si="16"/>
        <v>17</v>
      </c>
      <c r="AI14" s="33">
        <f t="shared" si="17"/>
        <v>17</v>
      </c>
      <c r="AJ14" s="33">
        <f t="shared" si="18"/>
        <v>17</v>
      </c>
      <c r="AK14" s="33">
        <f t="shared" si="19"/>
        <v>17</v>
      </c>
      <c r="AL14" s="33">
        <f t="shared" si="20"/>
        <v>17</v>
      </c>
      <c r="AM14" s="33">
        <f t="shared" si="21"/>
        <v>17</v>
      </c>
      <c r="AN14" s="33">
        <f t="shared" si="22"/>
        <v>17</v>
      </c>
      <c r="AO14" s="33">
        <f t="shared" ref="AO14:AR14" si="47">COUNTIF($C14:$W14,T14)</f>
        <v>17</v>
      </c>
      <c r="AP14" s="33">
        <f t="shared" si="47"/>
        <v>4</v>
      </c>
      <c r="AQ14" s="33">
        <f t="shared" si="47"/>
        <v>17</v>
      </c>
      <c r="AR14" s="33">
        <f t="shared" si="47"/>
        <v>17</v>
      </c>
      <c r="AS14" s="35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</row>
    <row r="15" ht="10.5" customHeight="1">
      <c r="A15" s="30" t="s">
        <v>37</v>
      </c>
      <c r="B15" s="31" t="s">
        <v>42</v>
      </c>
      <c r="C15" s="32" t="str">
        <f>VLOOKUP($C$2,Form_PrimeiraFase!$C$2:$FB$69,9,FALSE)</f>
        <v>Slavia Praga</v>
      </c>
      <c r="D15" s="32" t="str">
        <f>VLOOKUP($D$2,Form_PrimeiraFase!$C$2:$FB$69,9,FALSE)</f>
        <v>Slavia Praga</v>
      </c>
      <c r="E15" s="32" t="str">
        <f>VLOOKUP($E$2,Form_PrimeiraFase!$C$2:$FB$69,9,FALSE)</f>
        <v>Empate</v>
      </c>
      <c r="F15" s="32" t="str">
        <f>VLOOKUP($F$2,Form_PrimeiraFase!$C$2:$FB$69,9,FALSE)</f>
        <v>Slavia Praga</v>
      </c>
      <c r="G15" s="32" t="str">
        <f>VLOOKUP($G$2,Form_PrimeiraFase!$C$2:$FB$69,9,FALSE)</f>
        <v>Empate</v>
      </c>
      <c r="H15" s="32" t="str">
        <f>VLOOKUP($H$2,Form_PrimeiraFase!$C$2:$FB$69,9,FALSE)</f>
        <v>Slavia Praga</v>
      </c>
      <c r="I15" s="32" t="str">
        <f>VLOOKUP($I$2,Form_PrimeiraFase!$C$2:$FB$69,9,FALSE)</f>
        <v>Slavia Praga</v>
      </c>
      <c r="J15" s="32" t="str">
        <f>VLOOKUP($J$2,Form_PrimeiraFase!$C$2:$FB$69,9,FALSE)</f>
        <v>Slavia Praga</v>
      </c>
      <c r="K15" s="32" t="str">
        <f>VLOOKUP($K$2,Form_PrimeiraFase!$C$2:$FB$69,9,FALSE)</f>
        <v>Bodö/Glimt</v>
      </c>
      <c r="L15" s="32" t="str">
        <f>VLOOKUP($L$2,Form_PrimeiraFase!$C$2:$FB$69,9,FALSE)</f>
        <v>Slavia Praga</v>
      </c>
      <c r="M15" s="32" t="str">
        <f>VLOOKUP($M$2,Form_PrimeiraFase!$C$2:$FB$69,9,FALSE)</f>
        <v>Slavia Praga</v>
      </c>
      <c r="N15" s="32" t="str">
        <f>VLOOKUP($N$2,Form_PrimeiraFase!$C$2:$FB$69,9,FALSE)</f>
        <v>Slavia Praga</v>
      </c>
      <c r="O15" s="32" t="str">
        <f>VLOOKUP($O$2,Form_PrimeiraFase!$C$2:$FB$69,9,FALSE)</f>
        <v>Slavia Praga</v>
      </c>
      <c r="P15" s="32" t="str">
        <f>VLOOKUP($P$2,Form_PrimeiraFase!$C$2:$FB$69,9,FALSE)</f>
        <v>Slavia Praga</v>
      </c>
      <c r="Q15" s="32" t="str">
        <f>VLOOKUP($Q$2,Form_PrimeiraFase!$C$2:$FB$69,9,FALSE)</f>
        <v>Slavia Praga</v>
      </c>
      <c r="R15" s="32" t="str">
        <f>VLOOKUP($R$2,Form_PrimeiraFase!$C$2:$FB$69,9,FALSE)</f>
        <v>Empate</v>
      </c>
      <c r="S15" s="32" t="str">
        <f>VLOOKUP($S$2,Form_PrimeiraFase!$C$2:$FB$69,9,FALSE)</f>
        <v>Empate</v>
      </c>
      <c r="T15" s="32" t="str">
        <f>VLOOKUP($T$2,Form_PrimeiraFase!$C$2:$FB$69,9,FALSE)</f>
        <v>Slavia Praga</v>
      </c>
      <c r="U15" s="32" t="str">
        <f>VLOOKUP($U$2,Form_PrimeiraFase!$C$2:$FB$69,9,FALSE)</f>
        <v>Empate</v>
      </c>
      <c r="V15" s="32" t="str">
        <f>VLOOKUP($V$2,Form_PrimeiraFase!$C$2:$FB$69,9,FALSE)</f>
        <v>Empate</v>
      </c>
      <c r="W15" s="32" t="str">
        <f>VLOOKUP($W$2,Form_PrimeiraFase!$C$2:$FB$69,9,FALSE)</f>
        <v>Slavia Praga</v>
      </c>
      <c r="X15" s="33">
        <f t="shared" ref="X15:Y15" si="48">COUNTIF($C15:$W15,J15)</f>
        <v>14</v>
      </c>
      <c r="Y15" s="33">
        <f t="shared" si="48"/>
        <v>1</v>
      </c>
      <c r="Z15" s="33">
        <f t="shared" si="9"/>
        <v>6</v>
      </c>
      <c r="AA15" s="33">
        <f t="shared" si="10"/>
        <v>14</v>
      </c>
      <c r="AB15" s="33">
        <f t="shared" ref="AB15:AC15" si="49">COUNTIF($C15:$W15,N15)</f>
        <v>14</v>
      </c>
      <c r="AC15" s="33">
        <f t="shared" si="49"/>
        <v>14</v>
      </c>
      <c r="AD15" s="33">
        <f t="shared" si="12"/>
        <v>6</v>
      </c>
      <c r="AE15" s="33">
        <f t="shared" si="13"/>
        <v>14</v>
      </c>
      <c r="AF15" s="33">
        <f t="shared" si="14"/>
        <v>6</v>
      </c>
      <c r="AG15" s="33">
        <f t="shared" si="15"/>
        <v>6</v>
      </c>
      <c r="AH15" s="33">
        <f t="shared" si="16"/>
        <v>14</v>
      </c>
      <c r="AI15" s="33">
        <f t="shared" si="17"/>
        <v>14</v>
      </c>
      <c r="AJ15" s="33">
        <f t="shared" si="18"/>
        <v>14</v>
      </c>
      <c r="AK15" s="33">
        <f t="shared" si="19"/>
        <v>14</v>
      </c>
      <c r="AL15" s="33">
        <f t="shared" si="20"/>
        <v>14</v>
      </c>
      <c r="AM15" s="33">
        <f t="shared" si="21"/>
        <v>14</v>
      </c>
      <c r="AN15" s="33">
        <f t="shared" si="22"/>
        <v>14</v>
      </c>
      <c r="AO15" s="33">
        <f t="shared" ref="AO15:AR15" si="50">COUNTIF($C15:$W15,T15)</f>
        <v>14</v>
      </c>
      <c r="AP15" s="33">
        <f t="shared" si="50"/>
        <v>6</v>
      </c>
      <c r="AQ15" s="33">
        <f t="shared" si="50"/>
        <v>6</v>
      </c>
      <c r="AR15" s="33">
        <f t="shared" si="50"/>
        <v>14</v>
      </c>
      <c r="AS15" s="35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</row>
    <row r="16" ht="10.5" customHeight="1">
      <c r="A16" s="30" t="s">
        <v>37</v>
      </c>
      <c r="B16" s="32" t="s">
        <v>44</v>
      </c>
      <c r="C16" s="32" t="str">
        <f>VLOOKUP($C$2,Form_PrimeiraFase!$C$2:$FB$69,10,FALSE)</f>
        <v>Paris Saint-Germain</v>
      </c>
      <c r="D16" s="32" t="str">
        <f>VLOOKUP($D$2,Form_PrimeiraFase!$C$2:$FB$69,10,FALSE)</f>
        <v>Paris Saint-Germain</v>
      </c>
      <c r="E16" s="32" t="str">
        <f>VLOOKUP($E$2,Form_PrimeiraFase!$C$2:$FB$69,10,FALSE)</f>
        <v>Paris Saint-Germain</v>
      </c>
      <c r="F16" s="32" t="str">
        <f>VLOOKUP($F$2,Form_PrimeiraFase!$C$2:$FB$69,10,FALSE)</f>
        <v>Paris Saint-Germain</v>
      </c>
      <c r="G16" s="32" t="str">
        <f>VLOOKUP($G$2,Form_PrimeiraFase!$C$2:$FB$69,10,FALSE)</f>
        <v>Paris Saint-Germain</v>
      </c>
      <c r="H16" s="32" t="str">
        <f>VLOOKUP($H$2,Form_PrimeiraFase!$C$2:$FB$69,10,FALSE)</f>
        <v>Paris Saint-Germain</v>
      </c>
      <c r="I16" s="32" t="str">
        <f>VLOOKUP($I$2,Form_PrimeiraFase!$C$2:$FB$69,10,FALSE)</f>
        <v>Paris Saint-Germain</v>
      </c>
      <c r="J16" s="32" t="str">
        <f>VLOOKUP($J$2,Form_PrimeiraFase!$C$2:$FB$69,10,FALSE)</f>
        <v>Paris Saint-Germain</v>
      </c>
      <c r="K16" s="32" t="str">
        <f>VLOOKUP($K$2,Form_PrimeiraFase!$C$2:$FB$69,10,FALSE)</f>
        <v>Paris Saint-Germain</v>
      </c>
      <c r="L16" s="32" t="str">
        <f>VLOOKUP($L$2,Form_PrimeiraFase!$C$2:$FB$69,10,FALSE)</f>
        <v>Paris Saint-Germain</v>
      </c>
      <c r="M16" s="32" t="str">
        <f>VLOOKUP($M$2,Form_PrimeiraFase!$C$2:$FB$69,10,FALSE)</f>
        <v>Paris Saint-Germain</v>
      </c>
      <c r="N16" s="32" t="str">
        <f>VLOOKUP($N$2,Form_PrimeiraFase!$C$2:$FB$69,10,FALSE)</f>
        <v>Paris Saint-Germain</v>
      </c>
      <c r="O16" s="32" t="str">
        <f>VLOOKUP($O$2,Form_PrimeiraFase!$C$2:$FB$69,10,FALSE)</f>
        <v>Paris Saint-Germain</v>
      </c>
      <c r="P16" s="32" t="str">
        <f>VLOOKUP($P$2,Form_PrimeiraFase!$C$2:$FB$69,10,FALSE)</f>
        <v>Paris Saint-Germain</v>
      </c>
      <c r="Q16" s="32" t="str">
        <f>VLOOKUP($Q$2,Form_PrimeiraFase!$C$2:$FB$69,10,FALSE)</f>
        <v>Paris Saint-Germain</v>
      </c>
      <c r="R16" s="32" t="str">
        <f>VLOOKUP($R$2,Form_PrimeiraFase!$C$2:$FB$69,10,FALSE)</f>
        <v>Paris Saint-Germain</v>
      </c>
      <c r="S16" s="32" t="str">
        <f>VLOOKUP($S$2,Form_PrimeiraFase!$C$2:$FB$69,10,FALSE)</f>
        <v>Paris Saint-Germain</v>
      </c>
      <c r="T16" s="32" t="str">
        <f>VLOOKUP($T$2,Form_PrimeiraFase!$C$2:$FB$69,10,FALSE)</f>
        <v>Paris Saint-Germain</v>
      </c>
      <c r="U16" s="32" t="str">
        <f>VLOOKUP($U$2,Form_PrimeiraFase!$C$2:$FB$69,10,FALSE)</f>
        <v>Paris Saint-Germain</v>
      </c>
      <c r="V16" s="32" t="str">
        <f>VLOOKUP($V$2,Form_PrimeiraFase!$C$2:$FB$69,10,FALSE)</f>
        <v>Paris Saint-Germain</v>
      </c>
      <c r="W16" s="32" t="str">
        <f>VLOOKUP($W$2,Form_PrimeiraFase!$C$2:$FB$69,10,FALSE)</f>
        <v>Paris Saint-Germain</v>
      </c>
      <c r="X16" s="33">
        <f t="shared" ref="X16:Y16" si="51">COUNTIF($C16:$W16,J16)</f>
        <v>21</v>
      </c>
      <c r="Y16" s="33">
        <f t="shared" si="51"/>
        <v>21</v>
      </c>
      <c r="Z16" s="33">
        <f t="shared" si="9"/>
        <v>21</v>
      </c>
      <c r="AA16" s="33">
        <f t="shared" si="10"/>
        <v>21</v>
      </c>
      <c r="AB16" s="33">
        <f t="shared" ref="AB16:AC16" si="52">COUNTIF($C16:$W16,N16)</f>
        <v>21</v>
      </c>
      <c r="AC16" s="33">
        <f t="shared" si="52"/>
        <v>21</v>
      </c>
      <c r="AD16" s="33">
        <f t="shared" si="12"/>
        <v>21</v>
      </c>
      <c r="AE16" s="33">
        <f t="shared" si="13"/>
        <v>21</v>
      </c>
      <c r="AF16" s="33">
        <f t="shared" si="14"/>
        <v>21</v>
      </c>
      <c r="AG16" s="33">
        <f t="shared" si="15"/>
        <v>21</v>
      </c>
      <c r="AH16" s="33">
        <f t="shared" si="16"/>
        <v>21</v>
      </c>
      <c r="AI16" s="33">
        <f t="shared" si="17"/>
        <v>21</v>
      </c>
      <c r="AJ16" s="33">
        <f t="shared" si="18"/>
        <v>21</v>
      </c>
      <c r="AK16" s="33">
        <f t="shared" si="19"/>
        <v>21</v>
      </c>
      <c r="AL16" s="33">
        <f t="shared" si="20"/>
        <v>21</v>
      </c>
      <c r="AM16" s="33">
        <f t="shared" si="21"/>
        <v>21</v>
      </c>
      <c r="AN16" s="33">
        <f t="shared" si="22"/>
        <v>21</v>
      </c>
      <c r="AO16" s="33">
        <f t="shared" ref="AO16:AR16" si="53">COUNTIF($C16:$W16,T16)</f>
        <v>21</v>
      </c>
      <c r="AP16" s="33">
        <f t="shared" si="53"/>
        <v>21</v>
      </c>
      <c r="AQ16" s="33">
        <f t="shared" si="53"/>
        <v>21</v>
      </c>
      <c r="AR16" s="33">
        <f t="shared" si="53"/>
        <v>21</v>
      </c>
      <c r="AS16" s="35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</row>
    <row r="17" ht="10.5" customHeight="1">
      <c r="A17" s="30" t="s">
        <v>37</v>
      </c>
      <c r="B17" s="31" t="s">
        <v>45</v>
      </c>
      <c r="C17" s="32" t="str">
        <f>VLOOKUP($C$2,Form_PrimeiraFase!$C$2:$FB$69,11,FALSE)</f>
        <v>Bayern de Munique</v>
      </c>
      <c r="D17" s="32" t="str">
        <f>VLOOKUP($D$2,Form_PrimeiraFase!$C$2:$FB$69,11,FALSE)</f>
        <v>Bayern de Munique</v>
      </c>
      <c r="E17" s="32" t="str">
        <f>VLOOKUP($E$2,Form_PrimeiraFase!$C$2:$FB$69,11,FALSE)</f>
        <v>Bayern de Munique</v>
      </c>
      <c r="F17" s="32" t="str">
        <f>VLOOKUP($F$2,Form_PrimeiraFase!$C$2:$FB$69,11,FALSE)</f>
        <v>Empate</v>
      </c>
      <c r="G17" s="32" t="str">
        <f>VLOOKUP($G$2,Form_PrimeiraFase!$C$2:$FB$69,11,FALSE)</f>
        <v>Bayern de Munique</v>
      </c>
      <c r="H17" s="32" t="str">
        <f>VLOOKUP($H$2,Form_PrimeiraFase!$C$2:$FB$69,11,FALSE)</f>
        <v>Bayern de Munique</v>
      </c>
      <c r="I17" s="32" t="str">
        <f>VLOOKUP($I$2,Form_PrimeiraFase!$C$2:$FB$69,11,FALSE)</f>
        <v>Bayern de Munique</v>
      </c>
      <c r="J17" s="32" t="str">
        <f>VLOOKUP($J$2,Form_PrimeiraFase!$C$2:$FB$69,11,FALSE)</f>
        <v>Bayern de Munique</v>
      </c>
      <c r="K17" s="32" t="str">
        <f>VLOOKUP($K$2,Form_PrimeiraFase!$C$2:$FB$69,11,FALSE)</f>
        <v>Chelsea</v>
      </c>
      <c r="L17" s="32" t="str">
        <f>VLOOKUP($L$2,Form_PrimeiraFase!$C$2:$FB$69,11,FALSE)</f>
        <v>Empate</v>
      </c>
      <c r="M17" s="32" t="str">
        <f>VLOOKUP($M$2,Form_PrimeiraFase!$C$2:$FB$69,11,FALSE)</f>
        <v>Empate</v>
      </c>
      <c r="N17" s="32" t="str">
        <f>VLOOKUP($N$2,Form_PrimeiraFase!$C$2:$FB$69,11,FALSE)</f>
        <v>Bayern de Munique</v>
      </c>
      <c r="O17" s="32" t="str">
        <f>VLOOKUP($O$2,Form_PrimeiraFase!$C$2:$FB$69,11,FALSE)</f>
        <v>Empate</v>
      </c>
      <c r="P17" s="32" t="str">
        <f>VLOOKUP($P$2,Form_PrimeiraFase!$C$2:$FB$69,11,FALSE)</f>
        <v>Chelsea</v>
      </c>
      <c r="Q17" s="32" t="str">
        <f>VLOOKUP($Q$2,Form_PrimeiraFase!$C$2:$FB$69,11,FALSE)</f>
        <v>Chelsea</v>
      </c>
      <c r="R17" s="32" t="str">
        <f>VLOOKUP($R$2,Form_PrimeiraFase!$C$2:$FB$69,11,FALSE)</f>
        <v>Bayern de Munique</v>
      </c>
      <c r="S17" s="32" t="str">
        <f>VLOOKUP($S$2,Form_PrimeiraFase!$C$2:$FB$69,11,FALSE)</f>
        <v>Bayern de Munique</v>
      </c>
      <c r="T17" s="32" t="str">
        <f>VLOOKUP($T$2,Form_PrimeiraFase!$C$2:$FB$69,11,FALSE)</f>
        <v>Empate</v>
      </c>
      <c r="U17" s="32" t="str">
        <f>VLOOKUP($U$2,Form_PrimeiraFase!$C$2:$FB$69,11,FALSE)</f>
        <v>Empate</v>
      </c>
      <c r="V17" s="32" t="str">
        <f>VLOOKUP($V$2,Form_PrimeiraFase!$C$2:$FB$69,11,FALSE)</f>
        <v>Chelsea</v>
      </c>
      <c r="W17" s="32" t="str">
        <f>VLOOKUP($W$2,Form_PrimeiraFase!$C$2:$FB$69,11,FALSE)</f>
        <v>Bayern de Munique</v>
      </c>
      <c r="X17" s="33">
        <f t="shared" ref="X17:Y17" si="54">COUNTIF($C17:$W17,J17)</f>
        <v>11</v>
      </c>
      <c r="Y17" s="33">
        <f t="shared" si="54"/>
        <v>4</v>
      </c>
      <c r="Z17" s="33">
        <f t="shared" si="9"/>
        <v>11</v>
      </c>
      <c r="AA17" s="33">
        <f t="shared" si="10"/>
        <v>11</v>
      </c>
      <c r="AB17" s="33">
        <f t="shared" ref="AB17:AC17" si="55">COUNTIF($C17:$W17,N17)</f>
        <v>11</v>
      </c>
      <c r="AC17" s="33">
        <f t="shared" si="55"/>
        <v>6</v>
      </c>
      <c r="AD17" s="33">
        <f t="shared" si="12"/>
        <v>11</v>
      </c>
      <c r="AE17" s="33">
        <f t="shared" si="13"/>
        <v>6</v>
      </c>
      <c r="AF17" s="33">
        <f t="shared" si="14"/>
        <v>11</v>
      </c>
      <c r="AG17" s="33">
        <f t="shared" si="15"/>
        <v>11</v>
      </c>
      <c r="AH17" s="33">
        <f t="shared" si="16"/>
        <v>11</v>
      </c>
      <c r="AI17" s="33">
        <f t="shared" si="17"/>
        <v>4</v>
      </c>
      <c r="AJ17" s="33">
        <f t="shared" si="18"/>
        <v>6</v>
      </c>
      <c r="AK17" s="33">
        <f t="shared" si="19"/>
        <v>11</v>
      </c>
      <c r="AL17" s="33">
        <f t="shared" si="20"/>
        <v>4</v>
      </c>
      <c r="AM17" s="33">
        <f t="shared" si="21"/>
        <v>6</v>
      </c>
      <c r="AN17" s="33">
        <f t="shared" si="22"/>
        <v>11</v>
      </c>
      <c r="AO17" s="33">
        <f t="shared" ref="AO17:AR17" si="56">COUNTIF($C17:$W17,T17)</f>
        <v>6</v>
      </c>
      <c r="AP17" s="33">
        <f t="shared" si="56"/>
        <v>6</v>
      </c>
      <c r="AQ17" s="33">
        <f t="shared" si="56"/>
        <v>4</v>
      </c>
      <c r="AR17" s="33">
        <f t="shared" si="56"/>
        <v>11</v>
      </c>
      <c r="AS17" s="35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</row>
    <row r="18" ht="10.5" customHeight="1">
      <c r="A18" s="30" t="s">
        <v>37</v>
      </c>
      <c r="B18" s="31" t="s">
        <v>46</v>
      </c>
      <c r="C18" s="32" t="str">
        <f>VLOOKUP($C$2,Form_PrimeiraFase!$C$2:$FB$69,12,FALSE)</f>
        <v>Liverpool</v>
      </c>
      <c r="D18" s="32" t="str">
        <f>VLOOKUP($D$2,Form_PrimeiraFase!$C$2:$FB$69,12,FALSE)</f>
        <v>Liverpool</v>
      </c>
      <c r="E18" s="32" t="str">
        <f>VLOOKUP($E$2,Form_PrimeiraFase!$C$2:$FB$69,12,FALSE)</f>
        <v>Liverpool</v>
      </c>
      <c r="F18" s="32" t="str">
        <f>VLOOKUP($F$2,Form_PrimeiraFase!$C$2:$FB$69,12,FALSE)</f>
        <v>Liverpool</v>
      </c>
      <c r="G18" s="32" t="str">
        <f>VLOOKUP($G$2,Form_PrimeiraFase!$C$2:$FB$69,12,FALSE)</f>
        <v>Liverpool</v>
      </c>
      <c r="H18" s="32" t="str">
        <f>VLOOKUP($H$2,Form_PrimeiraFase!$C$2:$FB$69,12,FALSE)</f>
        <v>Liverpool</v>
      </c>
      <c r="I18" s="32" t="str">
        <f>VLOOKUP($I$2,Form_PrimeiraFase!$C$2:$FB$69,12,FALSE)</f>
        <v>Liverpool</v>
      </c>
      <c r="J18" s="32" t="str">
        <f>VLOOKUP($J$2,Form_PrimeiraFase!$C$2:$FB$69,12,FALSE)</f>
        <v>Liverpool</v>
      </c>
      <c r="K18" s="32" t="str">
        <f>VLOOKUP($K$2,Form_PrimeiraFase!$C$2:$FB$69,12,FALSE)</f>
        <v>Liverpool</v>
      </c>
      <c r="L18" s="32" t="str">
        <f>VLOOKUP($L$2,Form_PrimeiraFase!$C$2:$FB$69,12,FALSE)</f>
        <v>Empate</v>
      </c>
      <c r="M18" s="32" t="str">
        <f>VLOOKUP($M$2,Form_PrimeiraFase!$C$2:$FB$69,12,FALSE)</f>
        <v>Liverpool</v>
      </c>
      <c r="N18" s="32" t="str">
        <f>VLOOKUP($N$2,Form_PrimeiraFase!$C$2:$FB$69,12,FALSE)</f>
        <v>Liverpool</v>
      </c>
      <c r="O18" s="32" t="str">
        <f>VLOOKUP($O$2,Form_PrimeiraFase!$C$2:$FB$69,12,FALSE)</f>
        <v>Liverpool</v>
      </c>
      <c r="P18" s="32" t="str">
        <f>VLOOKUP($P$2,Form_PrimeiraFase!$C$2:$FB$69,12,FALSE)</f>
        <v>Liverpool</v>
      </c>
      <c r="Q18" s="32" t="str">
        <f>VLOOKUP($Q$2,Form_PrimeiraFase!$C$2:$FB$69,12,FALSE)</f>
        <v>Liverpool</v>
      </c>
      <c r="R18" s="32" t="str">
        <f>VLOOKUP($R$2,Form_PrimeiraFase!$C$2:$FB$69,12,FALSE)</f>
        <v>Liverpool</v>
      </c>
      <c r="S18" s="32" t="str">
        <f>VLOOKUP($S$2,Form_PrimeiraFase!$C$2:$FB$69,12,FALSE)</f>
        <v>Liverpool</v>
      </c>
      <c r="T18" s="32" t="str">
        <f>VLOOKUP($T$2,Form_PrimeiraFase!$C$2:$FB$69,12,FALSE)</f>
        <v>Liverpool</v>
      </c>
      <c r="U18" s="32" t="str">
        <f>VLOOKUP($U$2,Form_PrimeiraFase!$C$2:$FB$69,12,FALSE)</f>
        <v>Liverpool</v>
      </c>
      <c r="V18" s="32" t="str">
        <f>VLOOKUP($V$2,Form_PrimeiraFase!$C$2:$FB$69,12,FALSE)</f>
        <v>Atlético de Madrid</v>
      </c>
      <c r="W18" s="32" t="str">
        <f>VLOOKUP($W$2,Form_PrimeiraFase!$C$2:$FB$69,12,FALSE)</f>
        <v>Liverpool</v>
      </c>
      <c r="X18" s="33">
        <f t="shared" ref="X18:Y18" si="57">COUNTIF($C18:$W18,J18)</f>
        <v>19</v>
      </c>
      <c r="Y18" s="33">
        <f t="shared" si="57"/>
        <v>19</v>
      </c>
      <c r="Z18" s="33">
        <f t="shared" si="9"/>
        <v>19</v>
      </c>
      <c r="AA18" s="33">
        <f t="shared" si="10"/>
        <v>19</v>
      </c>
      <c r="AB18" s="33">
        <f t="shared" ref="AB18:AC18" si="58">COUNTIF($C18:$W18,N18)</f>
        <v>19</v>
      </c>
      <c r="AC18" s="33">
        <f t="shared" si="58"/>
        <v>19</v>
      </c>
      <c r="AD18" s="33">
        <f t="shared" si="12"/>
        <v>19</v>
      </c>
      <c r="AE18" s="33">
        <f t="shared" si="13"/>
        <v>19</v>
      </c>
      <c r="AF18" s="33">
        <f t="shared" si="14"/>
        <v>19</v>
      </c>
      <c r="AG18" s="33">
        <f t="shared" si="15"/>
        <v>19</v>
      </c>
      <c r="AH18" s="33">
        <f t="shared" si="16"/>
        <v>19</v>
      </c>
      <c r="AI18" s="33">
        <f t="shared" si="17"/>
        <v>19</v>
      </c>
      <c r="AJ18" s="33">
        <f t="shared" si="18"/>
        <v>19</v>
      </c>
      <c r="AK18" s="33">
        <f t="shared" si="19"/>
        <v>19</v>
      </c>
      <c r="AL18" s="33">
        <f t="shared" si="20"/>
        <v>19</v>
      </c>
      <c r="AM18" s="33">
        <f t="shared" si="21"/>
        <v>1</v>
      </c>
      <c r="AN18" s="33">
        <f t="shared" si="22"/>
        <v>19</v>
      </c>
      <c r="AO18" s="33">
        <f t="shared" ref="AO18:AR18" si="59">COUNTIF($C18:$W18,T18)</f>
        <v>19</v>
      </c>
      <c r="AP18" s="33">
        <f t="shared" si="59"/>
        <v>19</v>
      </c>
      <c r="AQ18" s="33">
        <f t="shared" si="59"/>
        <v>1</v>
      </c>
      <c r="AR18" s="33">
        <f t="shared" si="59"/>
        <v>19</v>
      </c>
      <c r="AS18" s="35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</row>
    <row r="19" ht="10.5" customHeight="1">
      <c r="A19" s="30" t="s">
        <v>37</v>
      </c>
      <c r="B19" s="31" t="s">
        <v>47</v>
      </c>
      <c r="C19" s="32" t="str">
        <f>VLOOKUP($C$2,Form_PrimeiraFase!$C$2:$FB$69,13,FALSE)</f>
        <v>Internazionale</v>
      </c>
      <c r="D19" s="32" t="str">
        <f>VLOOKUP($D$2,Form_PrimeiraFase!$C$2:$FB$69,13,FALSE)</f>
        <v>Empate</v>
      </c>
      <c r="E19" s="32" t="str">
        <f>VLOOKUP($E$2,Form_PrimeiraFase!$C$2:$FB$69,13,FALSE)</f>
        <v>Ajax</v>
      </c>
      <c r="F19" s="32" t="str">
        <f>VLOOKUP($F$2,Form_PrimeiraFase!$C$2:$FB$69,13,FALSE)</f>
        <v>Internazionale</v>
      </c>
      <c r="G19" s="32" t="str">
        <f>VLOOKUP($G$2,Form_PrimeiraFase!$C$2:$FB$69,13,FALSE)</f>
        <v>Empate</v>
      </c>
      <c r="H19" s="32" t="str">
        <f>VLOOKUP($H$2,Form_PrimeiraFase!$C$2:$FB$69,13,FALSE)</f>
        <v>Ajax</v>
      </c>
      <c r="I19" s="32" t="str">
        <f>VLOOKUP($I$2,Form_PrimeiraFase!$C$2:$FB$69,13,FALSE)</f>
        <v>Internazionale</v>
      </c>
      <c r="J19" s="32" t="str">
        <f>VLOOKUP($J$2,Form_PrimeiraFase!$C$2:$FB$69,13,FALSE)</f>
        <v>Empate</v>
      </c>
      <c r="K19" s="32" t="str">
        <f>VLOOKUP($K$2,Form_PrimeiraFase!$C$2:$FB$69,13,FALSE)</f>
        <v>Internazionale</v>
      </c>
      <c r="L19" s="32" t="str">
        <f>VLOOKUP($L$2,Form_PrimeiraFase!$C$2:$FB$69,13,FALSE)</f>
        <v>Empate</v>
      </c>
      <c r="M19" s="32" t="str">
        <f>VLOOKUP($M$2,Form_PrimeiraFase!$C$2:$FB$69,13,FALSE)</f>
        <v>Empate</v>
      </c>
      <c r="N19" s="32" t="str">
        <f>VLOOKUP($N$2,Form_PrimeiraFase!$C$2:$FB$69,13,FALSE)</f>
        <v>Internazionale</v>
      </c>
      <c r="O19" s="32" t="str">
        <f>VLOOKUP($O$2,Form_PrimeiraFase!$C$2:$FB$69,13,FALSE)</f>
        <v>Ajax</v>
      </c>
      <c r="P19" s="32" t="str">
        <f>VLOOKUP($P$2,Form_PrimeiraFase!$C$2:$FB$69,13,FALSE)</f>
        <v>Internazionale</v>
      </c>
      <c r="Q19" s="32" t="str">
        <f>VLOOKUP($Q$2,Form_PrimeiraFase!$C$2:$FB$69,13,FALSE)</f>
        <v>Empate</v>
      </c>
      <c r="R19" s="32" t="str">
        <f>VLOOKUP($R$2,Form_PrimeiraFase!$C$2:$FB$69,13,FALSE)</f>
        <v>Internazionale</v>
      </c>
      <c r="S19" s="32" t="str">
        <f>VLOOKUP($S$2,Form_PrimeiraFase!$C$2:$FB$69,13,FALSE)</f>
        <v>Empate</v>
      </c>
      <c r="T19" s="32" t="str">
        <f>VLOOKUP($T$2,Form_PrimeiraFase!$C$2:$FB$69,13,FALSE)</f>
        <v>Ajax</v>
      </c>
      <c r="U19" s="32" t="str">
        <f>VLOOKUP($U$2,Form_PrimeiraFase!$C$2:$FB$69,13,FALSE)</f>
        <v>Empate</v>
      </c>
      <c r="V19" s="32" t="str">
        <f>VLOOKUP($V$2,Form_PrimeiraFase!$C$2:$FB$69,13,FALSE)</f>
        <v>Internazionale</v>
      </c>
      <c r="W19" s="32" t="str">
        <f>VLOOKUP($W$2,Form_PrimeiraFase!$C$2:$FB$69,13,FALSE)</f>
        <v>Empate</v>
      </c>
      <c r="X19" s="33">
        <f t="shared" ref="X19:Y19" si="60">COUNTIF($C19:$W19,J19)</f>
        <v>9</v>
      </c>
      <c r="Y19" s="33">
        <f t="shared" si="60"/>
        <v>8</v>
      </c>
      <c r="Z19" s="33">
        <f t="shared" si="9"/>
        <v>8</v>
      </c>
      <c r="AA19" s="33">
        <f t="shared" si="10"/>
        <v>9</v>
      </c>
      <c r="AB19" s="33">
        <f t="shared" ref="AB19:AC19" si="61">COUNTIF($C19:$W19,N19)</f>
        <v>8</v>
      </c>
      <c r="AC19" s="33">
        <f t="shared" si="61"/>
        <v>4</v>
      </c>
      <c r="AD19" s="33">
        <f t="shared" si="12"/>
        <v>9</v>
      </c>
      <c r="AE19" s="33">
        <f t="shared" si="13"/>
        <v>8</v>
      </c>
      <c r="AF19" s="33">
        <f t="shared" si="14"/>
        <v>4</v>
      </c>
      <c r="AG19" s="33">
        <f t="shared" si="15"/>
        <v>9</v>
      </c>
      <c r="AH19" s="33">
        <f t="shared" si="16"/>
        <v>8</v>
      </c>
      <c r="AI19" s="33">
        <f t="shared" si="17"/>
        <v>8</v>
      </c>
      <c r="AJ19" s="33">
        <f t="shared" si="18"/>
        <v>9</v>
      </c>
      <c r="AK19" s="33">
        <f t="shared" si="19"/>
        <v>8</v>
      </c>
      <c r="AL19" s="33">
        <f t="shared" si="20"/>
        <v>9</v>
      </c>
      <c r="AM19" s="33">
        <f t="shared" si="21"/>
        <v>9</v>
      </c>
      <c r="AN19" s="33">
        <f t="shared" si="22"/>
        <v>4</v>
      </c>
      <c r="AO19" s="33">
        <f t="shared" ref="AO19:AR19" si="62">COUNTIF($C19:$W19,T19)</f>
        <v>4</v>
      </c>
      <c r="AP19" s="33">
        <f t="shared" si="62"/>
        <v>9</v>
      </c>
      <c r="AQ19" s="33">
        <f t="shared" si="62"/>
        <v>8</v>
      </c>
      <c r="AR19" s="33">
        <f t="shared" si="62"/>
        <v>9</v>
      </c>
      <c r="AS19" s="35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  <row r="20" ht="10.5" customHeight="1">
      <c r="A20" s="30" t="s">
        <v>37</v>
      </c>
      <c r="B20" s="31" t="s">
        <v>48</v>
      </c>
      <c r="C20" s="32" t="str">
        <f>VLOOKUP($C$2,Form_PrimeiraFase!$C$2:$FB$69,14,FALSE)</f>
        <v>Monaco</v>
      </c>
      <c r="D20" s="32" t="str">
        <f>VLOOKUP($D$2,Form_PrimeiraFase!$C$2:$FB$69,14,FALSE)</f>
        <v>Monaco</v>
      </c>
      <c r="E20" s="32" t="str">
        <f>VLOOKUP($E$2,Form_PrimeiraFase!$C$2:$FB$69,14,FALSE)</f>
        <v>Monaco</v>
      </c>
      <c r="F20" s="32" t="str">
        <f>VLOOKUP($F$2,Form_PrimeiraFase!$C$2:$FB$69,14,FALSE)</f>
        <v>Empate</v>
      </c>
      <c r="G20" s="32" t="str">
        <f>VLOOKUP($G$2,Form_PrimeiraFase!$C$2:$FB$69,14,FALSE)</f>
        <v>Club Brugge</v>
      </c>
      <c r="H20" s="32" t="str">
        <f>VLOOKUP($H$2,Form_PrimeiraFase!$C$2:$FB$69,14,FALSE)</f>
        <v>Monaco</v>
      </c>
      <c r="I20" s="32" t="str">
        <f>VLOOKUP($I$2,Form_PrimeiraFase!$C$2:$FB$69,14,FALSE)</f>
        <v>Club Brugge</v>
      </c>
      <c r="J20" s="32" t="str">
        <f>VLOOKUP($J$2,Form_PrimeiraFase!$C$2:$FB$69,14,FALSE)</f>
        <v>Club Brugge</v>
      </c>
      <c r="K20" s="32" t="str">
        <f>VLOOKUP($K$2,Form_PrimeiraFase!$C$2:$FB$69,14,FALSE)</f>
        <v>Empate</v>
      </c>
      <c r="L20" s="32" t="str">
        <f>VLOOKUP($L$2,Form_PrimeiraFase!$C$2:$FB$69,14,FALSE)</f>
        <v>Club Brugge</v>
      </c>
      <c r="M20" s="32" t="str">
        <f>VLOOKUP($M$2,Form_PrimeiraFase!$C$2:$FB$69,14,FALSE)</f>
        <v>Monaco</v>
      </c>
      <c r="N20" s="32" t="str">
        <f>VLOOKUP($N$2,Form_PrimeiraFase!$C$2:$FB$69,14,FALSE)</f>
        <v>Empate</v>
      </c>
      <c r="O20" s="32" t="str">
        <f>VLOOKUP($O$2,Form_PrimeiraFase!$C$2:$FB$69,14,FALSE)</f>
        <v>Empate</v>
      </c>
      <c r="P20" s="32" t="str">
        <f>VLOOKUP($P$2,Form_PrimeiraFase!$C$2:$FB$69,14,FALSE)</f>
        <v>Empate</v>
      </c>
      <c r="Q20" s="32" t="str">
        <f>VLOOKUP($Q$2,Form_PrimeiraFase!$C$2:$FB$69,14,FALSE)</f>
        <v>Empate</v>
      </c>
      <c r="R20" s="32" t="str">
        <f>VLOOKUP($R$2,Form_PrimeiraFase!$C$2:$FB$69,14,FALSE)</f>
        <v>Empate</v>
      </c>
      <c r="S20" s="32" t="str">
        <f>VLOOKUP($S$2,Form_PrimeiraFase!$C$2:$FB$69,14,FALSE)</f>
        <v>Club Brugge</v>
      </c>
      <c r="T20" s="32" t="str">
        <f>VLOOKUP($T$2,Form_PrimeiraFase!$C$2:$FB$69,14,FALSE)</f>
        <v>Club Brugge</v>
      </c>
      <c r="U20" s="32" t="str">
        <f>VLOOKUP($U$2,Form_PrimeiraFase!$C$2:$FB$69,14,FALSE)</f>
        <v>Empate</v>
      </c>
      <c r="V20" s="32" t="str">
        <f>VLOOKUP($V$2,Form_PrimeiraFase!$C$2:$FB$69,14,FALSE)</f>
        <v>Club Brugge</v>
      </c>
      <c r="W20" s="32" t="str">
        <f>VLOOKUP($W$2,Form_PrimeiraFase!$C$2:$FB$69,14,FALSE)</f>
        <v>Monaco</v>
      </c>
      <c r="X20" s="33">
        <f t="shared" ref="X20:Y20" si="63">COUNTIF($C20:$W20,J20)</f>
        <v>7</v>
      </c>
      <c r="Y20" s="33">
        <f t="shared" si="63"/>
        <v>8</v>
      </c>
      <c r="Z20" s="33">
        <f t="shared" si="9"/>
        <v>8</v>
      </c>
      <c r="AA20" s="33">
        <f t="shared" si="10"/>
        <v>6</v>
      </c>
      <c r="AB20" s="33">
        <f t="shared" ref="AB20:AC20" si="64">COUNTIF($C20:$W20,N20)</f>
        <v>8</v>
      </c>
      <c r="AC20" s="33">
        <f t="shared" si="64"/>
        <v>8</v>
      </c>
      <c r="AD20" s="33">
        <f t="shared" si="12"/>
        <v>7</v>
      </c>
      <c r="AE20" s="33">
        <f t="shared" si="13"/>
        <v>8</v>
      </c>
      <c r="AF20" s="33">
        <f t="shared" si="14"/>
        <v>6</v>
      </c>
      <c r="AG20" s="33">
        <f t="shared" si="15"/>
        <v>7</v>
      </c>
      <c r="AH20" s="33">
        <f t="shared" si="16"/>
        <v>6</v>
      </c>
      <c r="AI20" s="33">
        <f t="shared" si="17"/>
        <v>8</v>
      </c>
      <c r="AJ20" s="33">
        <f t="shared" si="18"/>
        <v>6</v>
      </c>
      <c r="AK20" s="33">
        <f t="shared" si="19"/>
        <v>7</v>
      </c>
      <c r="AL20" s="33">
        <f t="shared" si="20"/>
        <v>8</v>
      </c>
      <c r="AM20" s="33">
        <f t="shared" si="21"/>
        <v>7</v>
      </c>
      <c r="AN20" s="33">
        <f t="shared" si="22"/>
        <v>6</v>
      </c>
      <c r="AO20" s="33">
        <f t="shared" ref="AO20:AR20" si="65">COUNTIF($C20:$W20,T20)</f>
        <v>7</v>
      </c>
      <c r="AP20" s="33">
        <f t="shared" si="65"/>
        <v>8</v>
      </c>
      <c r="AQ20" s="33">
        <f t="shared" si="65"/>
        <v>7</v>
      </c>
      <c r="AR20" s="33">
        <f t="shared" si="65"/>
        <v>6</v>
      </c>
      <c r="AS20" s="35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</row>
    <row r="21" ht="10.5" customHeight="1">
      <c r="A21" s="30" t="s">
        <v>37</v>
      </c>
      <c r="B21" s="31" t="s">
        <v>42</v>
      </c>
      <c r="C21" s="32" t="str">
        <f>VLOOKUP($C$2,Form_PrimeiraFase!$C$2:$FB$69,15,FALSE)</f>
        <v>Bayer Leverkusen</v>
      </c>
      <c r="D21" s="32" t="str">
        <f>VLOOKUP($D$2,Form_PrimeiraFase!$C$2:$FB$69,15,FALSE)</f>
        <v>Bayer Leverkusen</v>
      </c>
      <c r="E21" s="32" t="str">
        <f>VLOOKUP($E$2,Form_PrimeiraFase!$C$2:$FB$69,15,FALSE)</f>
        <v>Empate</v>
      </c>
      <c r="F21" s="32" t="str">
        <f>VLOOKUP($F$2,Form_PrimeiraFase!$C$2:$FB$69,15,FALSE)</f>
        <v>Empate</v>
      </c>
      <c r="G21" s="32" t="str">
        <f>VLOOKUP($G$2,Form_PrimeiraFase!$C$2:$FB$69,15,FALSE)</f>
        <v>Bayer Leverkusen</v>
      </c>
      <c r="H21" s="32" t="str">
        <f>VLOOKUP($H$2,Form_PrimeiraFase!$C$2:$FB$69,15,FALSE)</f>
        <v>Bayer Leverkusen</v>
      </c>
      <c r="I21" s="32" t="str">
        <f>VLOOKUP($I$2,Form_PrimeiraFase!$C$2:$FB$69,15,FALSE)</f>
        <v>Bayer Leverkusen</v>
      </c>
      <c r="J21" s="32" t="str">
        <f>VLOOKUP($J$2,Form_PrimeiraFase!$C$2:$FB$69,15,FALSE)</f>
        <v>Bayer Leverkusen</v>
      </c>
      <c r="K21" s="32" t="str">
        <f>VLOOKUP($K$2,Form_PrimeiraFase!$C$2:$FB$69,15,FALSE)</f>
        <v>Bayer Leverkusen</v>
      </c>
      <c r="L21" s="32" t="str">
        <f>VLOOKUP($L$2,Form_PrimeiraFase!$C$2:$FB$69,15,FALSE)</f>
        <v>Bayer Leverkusen</v>
      </c>
      <c r="M21" s="32" t="str">
        <f>VLOOKUP($M$2,Form_PrimeiraFase!$C$2:$FB$69,15,FALSE)</f>
        <v>Bayer Leverkusen</v>
      </c>
      <c r="N21" s="32" t="str">
        <f>VLOOKUP($N$2,Form_PrimeiraFase!$C$2:$FB$69,15,FALSE)</f>
        <v>Empate</v>
      </c>
      <c r="O21" s="32" t="str">
        <f>VLOOKUP($O$2,Form_PrimeiraFase!$C$2:$FB$69,15,FALSE)</f>
        <v>Empate</v>
      </c>
      <c r="P21" s="32" t="str">
        <f>VLOOKUP($P$2,Form_PrimeiraFase!$C$2:$FB$69,15,FALSE)</f>
        <v>Bayer Leverkusen</v>
      </c>
      <c r="Q21" s="32" t="str">
        <f>VLOOKUP($Q$2,Form_PrimeiraFase!$C$2:$FB$69,15,FALSE)</f>
        <v>Empate</v>
      </c>
      <c r="R21" s="32" t="str">
        <f>VLOOKUP($R$2,Form_PrimeiraFase!$C$2:$FB$69,15,FALSE)</f>
        <v>Empate</v>
      </c>
      <c r="S21" s="32" t="str">
        <f>VLOOKUP($S$2,Form_PrimeiraFase!$C$2:$FB$69,15,FALSE)</f>
        <v>Copenhagen</v>
      </c>
      <c r="T21" s="32" t="str">
        <f>VLOOKUP($T$2,Form_PrimeiraFase!$C$2:$FB$69,15,FALSE)</f>
        <v>Bayer Leverkusen</v>
      </c>
      <c r="U21" s="32" t="str">
        <f>VLOOKUP($U$2,Form_PrimeiraFase!$C$2:$FB$69,15,FALSE)</f>
        <v>Bayer Leverkusen</v>
      </c>
      <c r="V21" s="32" t="str">
        <f>VLOOKUP($V$2,Form_PrimeiraFase!$C$2:$FB$69,15,FALSE)</f>
        <v>Empate</v>
      </c>
      <c r="W21" s="32" t="str">
        <f>VLOOKUP($W$2,Form_PrimeiraFase!$C$2:$FB$69,15,FALSE)</f>
        <v>Bayer Leverkusen</v>
      </c>
      <c r="X21" s="33">
        <f t="shared" ref="X21:Y21" si="66">COUNTIF($C21:$W21,J21)</f>
        <v>13</v>
      </c>
      <c r="Y21" s="33">
        <f t="shared" si="66"/>
        <v>13</v>
      </c>
      <c r="Z21" s="33">
        <f t="shared" si="9"/>
        <v>7</v>
      </c>
      <c r="AA21" s="33">
        <f t="shared" si="10"/>
        <v>13</v>
      </c>
      <c r="AB21" s="33">
        <f t="shared" ref="AB21:AC21" si="67">COUNTIF($C21:$W21,N21)</f>
        <v>7</v>
      </c>
      <c r="AC21" s="33">
        <f t="shared" si="67"/>
        <v>7</v>
      </c>
      <c r="AD21" s="33">
        <f t="shared" si="12"/>
        <v>13</v>
      </c>
      <c r="AE21" s="33">
        <f t="shared" si="13"/>
        <v>7</v>
      </c>
      <c r="AF21" s="33">
        <f t="shared" si="14"/>
        <v>7</v>
      </c>
      <c r="AG21" s="33">
        <f t="shared" si="15"/>
        <v>1</v>
      </c>
      <c r="AH21" s="33">
        <f t="shared" si="16"/>
        <v>13</v>
      </c>
      <c r="AI21" s="33">
        <f t="shared" si="17"/>
        <v>13</v>
      </c>
      <c r="AJ21" s="33">
        <f t="shared" si="18"/>
        <v>13</v>
      </c>
      <c r="AK21" s="33">
        <f t="shared" si="19"/>
        <v>13</v>
      </c>
      <c r="AL21" s="33">
        <f t="shared" si="20"/>
        <v>7</v>
      </c>
      <c r="AM21" s="33">
        <f t="shared" si="21"/>
        <v>13</v>
      </c>
      <c r="AN21" s="33">
        <f t="shared" si="22"/>
        <v>13</v>
      </c>
      <c r="AO21" s="33">
        <f t="shared" ref="AO21:AR21" si="68">COUNTIF($C21:$W21,T21)</f>
        <v>13</v>
      </c>
      <c r="AP21" s="33">
        <f t="shared" si="68"/>
        <v>13</v>
      </c>
      <c r="AQ21" s="33">
        <f t="shared" si="68"/>
        <v>7</v>
      </c>
      <c r="AR21" s="33">
        <f t="shared" si="68"/>
        <v>13</v>
      </c>
      <c r="AS21" s="35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ht="10.5" customHeight="1">
      <c r="A22" s="30" t="s">
        <v>37</v>
      </c>
      <c r="B22" s="31" t="s">
        <v>49</v>
      </c>
      <c r="C22" s="32" t="str">
        <f>VLOOKUP($C$2,Form_PrimeiraFase!$C$2:$FB$69,16,FALSE)</f>
        <v>Manchester City</v>
      </c>
      <c r="D22" s="32" t="str">
        <f>VLOOKUP($D$2,Form_PrimeiraFase!$C$2:$FB$69,16,FALSE)</f>
        <v>Manchester City</v>
      </c>
      <c r="E22" s="32" t="str">
        <f>VLOOKUP($E$2,Form_PrimeiraFase!$C$2:$FB$69,16,FALSE)</f>
        <v>Manchester City</v>
      </c>
      <c r="F22" s="32" t="str">
        <f>VLOOKUP($F$2,Form_PrimeiraFase!$C$2:$FB$69,16,FALSE)</f>
        <v>Manchester City</v>
      </c>
      <c r="G22" s="32" t="str">
        <f>VLOOKUP($G$2,Form_PrimeiraFase!$C$2:$FB$69,16,FALSE)</f>
        <v>Empate</v>
      </c>
      <c r="H22" s="32" t="str">
        <f>VLOOKUP($H$2,Form_PrimeiraFase!$C$2:$FB$69,16,FALSE)</f>
        <v>Manchester City</v>
      </c>
      <c r="I22" s="32" t="str">
        <f>VLOOKUP($I$2,Form_PrimeiraFase!$C$2:$FB$69,16,FALSE)</f>
        <v>Manchester City</v>
      </c>
      <c r="J22" s="32" t="str">
        <f>VLOOKUP($J$2,Form_PrimeiraFase!$C$2:$FB$69,16,FALSE)</f>
        <v>Manchester City</v>
      </c>
      <c r="K22" s="32" t="str">
        <f>VLOOKUP($K$2,Form_PrimeiraFase!$C$2:$FB$69,16,FALSE)</f>
        <v>Manchester City</v>
      </c>
      <c r="L22" s="32" t="str">
        <f>VLOOKUP($L$2,Form_PrimeiraFase!$C$2:$FB$69,16,FALSE)</f>
        <v>Manchester City</v>
      </c>
      <c r="M22" s="32" t="str">
        <f>VLOOKUP($M$2,Form_PrimeiraFase!$C$2:$FB$69,16,FALSE)</f>
        <v>Manchester City</v>
      </c>
      <c r="N22" s="32" t="str">
        <f>VLOOKUP($N$2,Form_PrimeiraFase!$C$2:$FB$69,16,FALSE)</f>
        <v>Manchester City</v>
      </c>
      <c r="O22" s="32" t="str">
        <f>VLOOKUP($O$2,Form_PrimeiraFase!$C$2:$FB$69,16,FALSE)</f>
        <v>Manchester City</v>
      </c>
      <c r="P22" s="32" t="str">
        <f>VLOOKUP($P$2,Form_PrimeiraFase!$C$2:$FB$69,16,FALSE)</f>
        <v>Manchester City</v>
      </c>
      <c r="Q22" s="32" t="str">
        <f>VLOOKUP($Q$2,Form_PrimeiraFase!$C$2:$FB$69,16,FALSE)</f>
        <v>Manchester City</v>
      </c>
      <c r="R22" s="32" t="str">
        <f>VLOOKUP($R$2,Form_PrimeiraFase!$C$2:$FB$69,16,FALSE)</f>
        <v>Manchester City</v>
      </c>
      <c r="S22" s="32" t="str">
        <f>VLOOKUP($S$2,Form_PrimeiraFase!$C$2:$FB$69,16,FALSE)</f>
        <v>Manchester City</v>
      </c>
      <c r="T22" s="32" t="str">
        <f>VLOOKUP($T$2,Form_PrimeiraFase!$C$2:$FB$69,16,FALSE)</f>
        <v>Manchester City</v>
      </c>
      <c r="U22" s="32" t="str">
        <f>VLOOKUP($U$2,Form_PrimeiraFase!$C$2:$FB$69,16,FALSE)</f>
        <v>Manchester City</v>
      </c>
      <c r="V22" s="32" t="str">
        <f>VLOOKUP($V$2,Form_PrimeiraFase!$C$2:$FB$69,16,FALSE)</f>
        <v>Manchester City</v>
      </c>
      <c r="W22" s="32" t="str">
        <f>VLOOKUP($W$2,Form_PrimeiraFase!$C$2:$FB$69,16,FALSE)</f>
        <v>Manchester City</v>
      </c>
      <c r="X22" s="33">
        <f t="shared" ref="X22:Y22" si="69">COUNTIF($C22:$W22,J22)</f>
        <v>20</v>
      </c>
      <c r="Y22" s="33">
        <f t="shared" si="69"/>
        <v>20</v>
      </c>
      <c r="Z22" s="33">
        <f t="shared" si="9"/>
        <v>20</v>
      </c>
      <c r="AA22" s="33">
        <f t="shared" si="10"/>
        <v>20</v>
      </c>
      <c r="AB22" s="33">
        <f t="shared" ref="AB22:AC22" si="70">COUNTIF($C22:$W22,N22)</f>
        <v>20</v>
      </c>
      <c r="AC22" s="33">
        <f t="shared" si="70"/>
        <v>20</v>
      </c>
      <c r="AD22" s="33">
        <f t="shared" si="12"/>
        <v>1</v>
      </c>
      <c r="AE22" s="33">
        <f t="shared" si="13"/>
        <v>20</v>
      </c>
      <c r="AF22" s="33">
        <f t="shared" si="14"/>
        <v>20</v>
      </c>
      <c r="AG22" s="33">
        <f t="shared" si="15"/>
        <v>20</v>
      </c>
      <c r="AH22" s="33">
        <f t="shared" si="16"/>
        <v>20</v>
      </c>
      <c r="AI22" s="33">
        <f t="shared" si="17"/>
        <v>20</v>
      </c>
      <c r="AJ22" s="33">
        <f t="shared" si="18"/>
        <v>20</v>
      </c>
      <c r="AK22" s="33">
        <f t="shared" si="19"/>
        <v>20</v>
      </c>
      <c r="AL22" s="33">
        <f t="shared" si="20"/>
        <v>20</v>
      </c>
      <c r="AM22" s="33">
        <f t="shared" si="21"/>
        <v>20</v>
      </c>
      <c r="AN22" s="33">
        <f t="shared" si="22"/>
        <v>20</v>
      </c>
      <c r="AO22" s="33">
        <f t="shared" ref="AO22:AR22" si="71">COUNTIF($C22:$W22,T22)</f>
        <v>20</v>
      </c>
      <c r="AP22" s="33">
        <f t="shared" si="71"/>
        <v>20</v>
      </c>
      <c r="AQ22" s="33">
        <f t="shared" si="71"/>
        <v>20</v>
      </c>
      <c r="AR22" s="33">
        <f t="shared" si="71"/>
        <v>20</v>
      </c>
      <c r="AS22" s="35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ht="10.5" customHeight="1">
      <c r="A23" s="30" t="s">
        <v>37</v>
      </c>
      <c r="B23" s="31" t="s">
        <v>50</v>
      </c>
      <c r="C23" s="32" t="str">
        <f>VLOOKUP($C$2,Form_PrimeiraFase!$C$2:$FB$69,17,FALSE)</f>
        <v>Eintracht Frankfurt</v>
      </c>
      <c r="D23" s="32" t="str">
        <f>VLOOKUP($D$2,Form_PrimeiraFase!$C$2:$FB$69,17,FALSE)</f>
        <v>Eintracht Frankfurt</v>
      </c>
      <c r="E23" s="32" t="str">
        <f>VLOOKUP($E$2,Form_PrimeiraFase!$C$2:$FB$69,17,FALSE)</f>
        <v>Galatasaray</v>
      </c>
      <c r="F23" s="32" t="str">
        <f>VLOOKUP($F$2,Form_PrimeiraFase!$C$2:$FB$69,17,FALSE)</f>
        <v>Galatasaray</v>
      </c>
      <c r="G23" s="32" t="str">
        <f>VLOOKUP($G$2,Form_PrimeiraFase!$C$2:$FB$69,17,FALSE)</f>
        <v>Eintracht Frankfurt</v>
      </c>
      <c r="H23" s="32" t="str">
        <f>VLOOKUP($H$2,Form_PrimeiraFase!$C$2:$FB$69,17,FALSE)</f>
        <v>Eintracht Frankfurt</v>
      </c>
      <c r="I23" s="32" t="str">
        <f>VLOOKUP($I$2,Form_PrimeiraFase!$C$2:$FB$69,17,FALSE)</f>
        <v>Galatasaray</v>
      </c>
      <c r="J23" s="32" t="str">
        <f>VLOOKUP($J$2,Form_PrimeiraFase!$C$2:$FB$69,17,FALSE)</f>
        <v>Eintracht Frankfurt</v>
      </c>
      <c r="K23" s="32" t="str">
        <f>VLOOKUP($K$2,Form_PrimeiraFase!$C$2:$FB$69,17,FALSE)</f>
        <v>Galatasaray</v>
      </c>
      <c r="L23" s="32" t="str">
        <f>VLOOKUP($L$2,Form_PrimeiraFase!$C$2:$FB$69,17,FALSE)</f>
        <v>Eintracht Frankfurt</v>
      </c>
      <c r="M23" s="32" t="str">
        <f>VLOOKUP($M$2,Form_PrimeiraFase!$C$2:$FB$69,17,FALSE)</f>
        <v>Empate</v>
      </c>
      <c r="N23" s="32" t="str">
        <f>VLOOKUP($N$2,Form_PrimeiraFase!$C$2:$FB$69,17,FALSE)</f>
        <v>Eintracht Frankfurt</v>
      </c>
      <c r="O23" s="32" t="str">
        <f>VLOOKUP($O$2,Form_PrimeiraFase!$C$2:$FB$69,17,FALSE)</f>
        <v>Galatasaray</v>
      </c>
      <c r="P23" s="32" t="str">
        <f>VLOOKUP($P$2,Form_PrimeiraFase!$C$2:$FB$69,17,FALSE)</f>
        <v>Empate</v>
      </c>
      <c r="Q23" s="32" t="str">
        <f>VLOOKUP($Q$2,Form_PrimeiraFase!$C$2:$FB$69,17,FALSE)</f>
        <v>Eintracht Frankfurt</v>
      </c>
      <c r="R23" s="32" t="str">
        <f>VLOOKUP($R$2,Form_PrimeiraFase!$C$2:$FB$69,17,FALSE)</f>
        <v>Galatasaray</v>
      </c>
      <c r="S23" s="32" t="str">
        <f>VLOOKUP($S$2,Form_PrimeiraFase!$C$2:$FB$69,17,FALSE)</f>
        <v>Galatasaray</v>
      </c>
      <c r="T23" s="32" t="str">
        <f>VLOOKUP($T$2,Form_PrimeiraFase!$C$2:$FB$69,17,FALSE)</f>
        <v>Empate</v>
      </c>
      <c r="U23" s="32" t="str">
        <f>VLOOKUP($U$2,Form_PrimeiraFase!$C$2:$FB$69,17,FALSE)</f>
        <v>Galatasaray</v>
      </c>
      <c r="V23" s="32" t="str">
        <f>VLOOKUP($V$2,Form_PrimeiraFase!$C$2:$FB$69,17,FALSE)</f>
        <v>Galatasaray</v>
      </c>
      <c r="W23" s="32" t="str">
        <f>VLOOKUP($W$2,Form_PrimeiraFase!$C$2:$FB$69,17,FALSE)</f>
        <v>Eintracht Frankfurt</v>
      </c>
      <c r="X23" s="33">
        <f t="shared" ref="X23:Y23" si="72">COUNTIF($C23:$W23,J23)</f>
        <v>9</v>
      </c>
      <c r="Y23" s="33">
        <f t="shared" si="72"/>
        <v>9</v>
      </c>
      <c r="Z23" s="33">
        <f t="shared" si="9"/>
        <v>9</v>
      </c>
      <c r="AA23" s="33">
        <f t="shared" si="10"/>
        <v>9</v>
      </c>
      <c r="AB23" s="33">
        <f t="shared" ref="AB23:AC23" si="73">COUNTIF($C23:$W23,N23)</f>
        <v>9</v>
      </c>
      <c r="AC23" s="33">
        <f t="shared" si="73"/>
        <v>9</v>
      </c>
      <c r="AD23" s="33">
        <f t="shared" si="12"/>
        <v>9</v>
      </c>
      <c r="AE23" s="33">
        <f t="shared" si="13"/>
        <v>9</v>
      </c>
      <c r="AF23" s="33">
        <f t="shared" si="14"/>
        <v>9</v>
      </c>
      <c r="AG23" s="33">
        <f t="shared" si="15"/>
        <v>9</v>
      </c>
      <c r="AH23" s="33">
        <f t="shared" si="16"/>
        <v>9</v>
      </c>
      <c r="AI23" s="33">
        <f t="shared" si="17"/>
        <v>3</v>
      </c>
      <c r="AJ23" s="33">
        <f t="shared" si="18"/>
        <v>3</v>
      </c>
      <c r="AK23" s="33">
        <f t="shared" si="19"/>
        <v>9</v>
      </c>
      <c r="AL23" s="33">
        <f t="shared" si="20"/>
        <v>9</v>
      </c>
      <c r="AM23" s="33">
        <f t="shared" si="21"/>
        <v>9</v>
      </c>
      <c r="AN23" s="33">
        <f t="shared" si="22"/>
        <v>9</v>
      </c>
      <c r="AO23" s="33">
        <f t="shared" ref="AO23:AR23" si="74">COUNTIF($C23:$W23,T23)</f>
        <v>3</v>
      </c>
      <c r="AP23" s="33">
        <f t="shared" si="74"/>
        <v>9</v>
      </c>
      <c r="AQ23" s="33">
        <f t="shared" si="74"/>
        <v>9</v>
      </c>
      <c r="AR23" s="33">
        <f t="shared" si="74"/>
        <v>9</v>
      </c>
      <c r="AS23" s="35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</row>
    <row r="24" ht="10.5" customHeight="1">
      <c r="A24" s="30" t="s">
        <v>37</v>
      </c>
      <c r="B24" s="31" t="s">
        <v>51</v>
      </c>
      <c r="C24" s="32" t="str">
        <f>VLOOKUP($C$2,Form_PrimeiraFase!$C$2:$FB$69,18,FALSE)</f>
        <v>Sporting</v>
      </c>
      <c r="D24" s="32" t="str">
        <f>VLOOKUP($D$2,Form_PrimeiraFase!$C$2:$FB$69,18,FALSE)</f>
        <v>Sporting</v>
      </c>
      <c r="E24" s="32" t="str">
        <f>VLOOKUP($E$2,Form_PrimeiraFase!$C$2:$FB$69,18,FALSE)</f>
        <v>Sporting</v>
      </c>
      <c r="F24" s="32" t="str">
        <f>VLOOKUP($F$2,Form_PrimeiraFase!$C$2:$FB$69,18,FALSE)</f>
        <v>Sporting</v>
      </c>
      <c r="G24" s="32" t="str">
        <f>VLOOKUP($G$2,Form_PrimeiraFase!$C$2:$FB$69,18,FALSE)</f>
        <v>Sporting</v>
      </c>
      <c r="H24" s="32" t="str">
        <f>VLOOKUP($H$2,Form_PrimeiraFase!$C$2:$FB$69,18,FALSE)</f>
        <v>Sporting</v>
      </c>
      <c r="I24" s="32" t="str">
        <f>VLOOKUP($I$2,Form_PrimeiraFase!$C$2:$FB$69,18,FALSE)</f>
        <v>Sporting</v>
      </c>
      <c r="J24" s="32" t="str">
        <f>VLOOKUP($J$2,Form_PrimeiraFase!$C$2:$FB$69,18,FALSE)</f>
        <v>Sporting</v>
      </c>
      <c r="K24" s="32" t="str">
        <f>VLOOKUP($K$2,Form_PrimeiraFase!$C$2:$FB$69,18,FALSE)</f>
        <v>Sporting</v>
      </c>
      <c r="L24" s="32" t="str">
        <f>VLOOKUP($L$2,Form_PrimeiraFase!$C$2:$FB$69,18,FALSE)</f>
        <v>Sporting</v>
      </c>
      <c r="M24" s="32" t="str">
        <f>VLOOKUP($M$2,Form_PrimeiraFase!$C$2:$FB$69,18,FALSE)</f>
        <v>Sporting</v>
      </c>
      <c r="N24" s="32" t="str">
        <f>VLOOKUP($N$2,Form_PrimeiraFase!$C$2:$FB$69,18,FALSE)</f>
        <v>Sporting</v>
      </c>
      <c r="O24" s="32" t="str">
        <f>VLOOKUP($O$2,Form_PrimeiraFase!$C$2:$FB$69,18,FALSE)</f>
        <v>Sporting</v>
      </c>
      <c r="P24" s="32" t="str">
        <f>VLOOKUP($P$2,Form_PrimeiraFase!$C$2:$FB$69,18,FALSE)</f>
        <v>Sporting</v>
      </c>
      <c r="Q24" s="32" t="str">
        <f>VLOOKUP($Q$2,Form_PrimeiraFase!$C$2:$FB$69,18,FALSE)</f>
        <v>Sporting</v>
      </c>
      <c r="R24" s="32" t="str">
        <f>VLOOKUP($R$2,Form_PrimeiraFase!$C$2:$FB$69,18,FALSE)</f>
        <v>Sporting</v>
      </c>
      <c r="S24" s="32" t="str">
        <f>VLOOKUP($S$2,Form_PrimeiraFase!$C$2:$FB$69,18,FALSE)</f>
        <v>Sporting</v>
      </c>
      <c r="T24" s="32" t="str">
        <f>VLOOKUP($T$2,Form_PrimeiraFase!$C$2:$FB$69,18,FALSE)</f>
        <v>Sporting</v>
      </c>
      <c r="U24" s="32" t="str">
        <f>VLOOKUP($U$2,Form_PrimeiraFase!$C$2:$FB$69,18,FALSE)</f>
        <v>Sporting</v>
      </c>
      <c r="V24" s="32" t="str">
        <f>VLOOKUP($V$2,Form_PrimeiraFase!$C$2:$FB$69,18,FALSE)</f>
        <v>Sporting</v>
      </c>
      <c r="W24" s="32" t="str">
        <f>VLOOKUP($W$2,Form_PrimeiraFase!$C$2:$FB$69,18,FALSE)</f>
        <v>Sporting</v>
      </c>
      <c r="X24" s="33">
        <f t="shared" ref="X24:Y24" si="75">COUNTIF($C24:$W24,J24)</f>
        <v>21</v>
      </c>
      <c r="Y24" s="33">
        <f t="shared" si="75"/>
        <v>21</v>
      </c>
      <c r="Z24" s="33">
        <f t="shared" si="9"/>
        <v>21</v>
      </c>
      <c r="AA24" s="33">
        <f t="shared" si="10"/>
        <v>21</v>
      </c>
      <c r="AB24" s="33">
        <f t="shared" ref="AB24:AC24" si="76">COUNTIF($C24:$W24,N24)</f>
        <v>21</v>
      </c>
      <c r="AC24" s="33">
        <f t="shared" si="76"/>
        <v>21</v>
      </c>
      <c r="AD24" s="33">
        <f t="shared" si="12"/>
        <v>21</v>
      </c>
      <c r="AE24" s="33">
        <f t="shared" si="13"/>
        <v>21</v>
      </c>
      <c r="AF24" s="33">
        <f t="shared" si="14"/>
        <v>21</v>
      </c>
      <c r="AG24" s="33">
        <f t="shared" si="15"/>
        <v>21</v>
      </c>
      <c r="AH24" s="33">
        <f t="shared" si="16"/>
        <v>21</v>
      </c>
      <c r="AI24" s="33">
        <f t="shared" si="17"/>
        <v>21</v>
      </c>
      <c r="AJ24" s="33">
        <f t="shared" si="18"/>
        <v>21</v>
      </c>
      <c r="AK24" s="33">
        <f t="shared" si="19"/>
        <v>21</v>
      </c>
      <c r="AL24" s="33">
        <f t="shared" si="20"/>
        <v>21</v>
      </c>
      <c r="AM24" s="33">
        <f t="shared" si="21"/>
        <v>21</v>
      </c>
      <c r="AN24" s="33">
        <f t="shared" si="22"/>
        <v>21</v>
      </c>
      <c r="AO24" s="33">
        <f t="shared" ref="AO24:AR24" si="77">COUNTIF($C24:$W24,T24)</f>
        <v>21</v>
      </c>
      <c r="AP24" s="33">
        <f t="shared" si="77"/>
        <v>21</v>
      </c>
      <c r="AQ24" s="33">
        <f t="shared" si="77"/>
        <v>21</v>
      </c>
      <c r="AR24" s="33">
        <f t="shared" si="77"/>
        <v>21</v>
      </c>
      <c r="AS24" s="35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</row>
    <row r="25" ht="10.5" customHeight="1">
      <c r="A25" s="30" t="s">
        <v>37</v>
      </c>
      <c r="B25" s="31" t="s">
        <v>52</v>
      </c>
      <c r="C25" s="32" t="str">
        <f>VLOOKUP($C$2,Form_PrimeiraFase!$C$2:$FB$69,19,FALSE)</f>
        <v>Barcelona</v>
      </c>
      <c r="D25" s="32" t="str">
        <f>VLOOKUP($D$2,Form_PrimeiraFase!$C$2:$FB$69,19,FALSE)</f>
        <v>Barcelona</v>
      </c>
      <c r="E25" s="32" t="str">
        <f>VLOOKUP($E$2,Form_PrimeiraFase!$C$2:$FB$69,19,FALSE)</f>
        <v>Barcelona</v>
      </c>
      <c r="F25" s="32" t="str">
        <f>VLOOKUP($F$2,Form_PrimeiraFase!$C$2:$FB$69,19,FALSE)</f>
        <v>Barcelona</v>
      </c>
      <c r="G25" s="32" t="str">
        <f>VLOOKUP($G$2,Form_PrimeiraFase!$C$2:$FB$69,19,FALSE)</f>
        <v>Barcelona</v>
      </c>
      <c r="H25" s="32" t="str">
        <f>VLOOKUP($H$2,Form_PrimeiraFase!$C$2:$FB$69,19,FALSE)</f>
        <v>Barcelona</v>
      </c>
      <c r="I25" s="32" t="str">
        <f>VLOOKUP($I$2,Form_PrimeiraFase!$C$2:$FB$69,19,FALSE)</f>
        <v>Newcastle</v>
      </c>
      <c r="J25" s="32" t="str">
        <f>VLOOKUP($J$2,Form_PrimeiraFase!$C$2:$FB$69,19,FALSE)</f>
        <v>Barcelona</v>
      </c>
      <c r="K25" s="32" t="str">
        <f>VLOOKUP($K$2,Form_PrimeiraFase!$C$2:$FB$69,19,FALSE)</f>
        <v>Newcastle</v>
      </c>
      <c r="L25" s="32" t="str">
        <f>VLOOKUP($L$2,Form_PrimeiraFase!$C$2:$FB$69,19,FALSE)</f>
        <v>Barcelona</v>
      </c>
      <c r="M25" s="32" t="str">
        <f>VLOOKUP($M$2,Form_PrimeiraFase!$C$2:$FB$69,19,FALSE)</f>
        <v>Barcelona</v>
      </c>
      <c r="N25" s="32" t="str">
        <f>VLOOKUP($N$2,Form_PrimeiraFase!$C$2:$FB$69,19,FALSE)</f>
        <v>Barcelona</v>
      </c>
      <c r="O25" s="32" t="str">
        <f>VLOOKUP($O$2,Form_PrimeiraFase!$C$2:$FB$69,19,FALSE)</f>
        <v>Barcelona</v>
      </c>
      <c r="P25" s="32" t="str">
        <f>VLOOKUP($P$2,Form_PrimeiraFase!$C$2:$FB$69,19,FALSE)</f>
        <v>Barcelona</v>
      </c>
      <c r="Q25" s="32" t="str">
        <f>VLOOKUP($Q$2,Form_PrimeiraFase!$C$2:$FB$69,19,FALSE)</f>
        <v>Newcastle</v>
      </c>
      <c r="R25" s="32" t="str">
        <f>VLOOKUP($R$2,Form_PrimeiraFase!$C$2:$FB$69,19,FALSE)</f>
        <v>Newcastle</v>
      </c>
      <c r="S25" s="32" t="str">
        <f>VLOOKUP($S$2,Form_PrimeiraFase!$C$2:$FB$69,19,FALSE)</f>
        <v>Barcelona</v>
      </c>
      <c r="T25" s="32" t="str">
        <f>VLOOKUP($T$2,Form_PrimeiraFase!$C$2:$FB$69,19,FALSE)</f>
        <v>Barcelona</v>
      </c>
      <c r="U25" s="32" t="str">
        <f>VLOOKUP($U$2,Form_PrimeiraFase!$C$2:$FB$69,19,FALSE)</f>
        <v>Empate</v>
      </c>
      <c r="V25" s="32" t="str">
        <f>VLOOKUP($V$2,Form_PrimeiraFase!$C$2:$FB$69,19,FALSE)</f>
        <v>Barcelona</v>
      </c>
      <c r="W25" s="32" t="str">
        <f>VLOOKUP($W$2,Form_PrimeiraFase!$C$2:$FB$69,19,FALSE)</f>
        <v>Barcelona</v>
      </c>
      <c r="X25" s="33">
        <f t="shared" ref="X25:Y25" si="78">COUNTIF($C25:$W25,J25)</f>
        <v>16</v>
      </c>
      <c r="Y25" s="33">
        <f t="shared" si="78"/>
        <v>4</v>
      </c>
      <c r="Z25" s="33">
        <f t="shared" si="9"/>
        <v>4</v>
      </c>
      <c r="AA25" s="33">
        <f t="shared" si="10"/>
        <v>16</v>
      </c>
      <c r="AB25" s="33">
        <f t="shared" ref="AB25:AC25" si="79">COUNTIF($C25:$W25,N25)</f>
        <v>16</v>
      </c>
      <c r="AC25" s="33">
        <f t="shared" si="79"/>
        <v>16</v>
      </c>
      <c r="AD25" s="33">
        <f t="shared" si="12"/>
        <v>16</v>
      </c>
      <c r="AE25" s="33">
        <f t="shared" si="13"/>
        <v>16</v>
      </c>
      <c r="AF25" s="33">
        <f t="shared" si="14"/>
        <v>16</v>
      </c>
      <c r="AG25" s="33">
        <f t="shared" si="15"/>
        <v>16</v>
      </c>
      <c r="AH25" s="33">
        <f t="shared" si="16"/>
        <v>16</v>
      </c>
      <c r="AI25" s="33">
        <f t="shared" si="17"/>
        <v>16</v>
      </c>
      <c r="AJ25" s="33">
        <f t="shared" si="18"/>
        <v>16</v>
      </c>
      <c r="AK25" s="33">
        <f t="shared" si="19"/>
        <v>4</v>
      </c>
      <c r="AL25" s="33">
        <f t="shared" si="20"/>
        <v>4</v>
      </c>
      <c r="AM25" s="33">
        <f t="shared" si="21"/>
        <v>16</v>
      </c>
      <c r="AN25" s="33">
        <f t="shared" si="22"/>
        <v>16</v>
      </c>
      <c r="AO25" s="33">
        <f t="shared" ref="AO25:AR25" si="80">COUNTIF($C25:$W25,T25)</f>
        <v>16</v>
      </c>
      <c r="AP25" s="33">
        <f t="shared" si="80"/>
        <v>1</v>
      </c>
      <c r="AQ25" s="33">
        <f t="shared" si="80"/>
        <v>16</v>
      </c>
      <c r="AR25" s="33">
        <f t="shared" si="80"/>
        <v>16</v>
      </c>
      <c r="AS25" s="35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</row>
    <row r="26" ht="10.5" customHeight="1">
      <c r="A26" s="30" t="s">
        <v>53</v>
      </c>
      <c r="B26" s="31" t="s">
        <v>54</v>
      </c>
      <c r="C26" s="32" t="str">
        <f>VLOOKUP($C$2,Form_PrimeiraFase!$C$2:$FB$69,20,FALSE)</f>
        <v>Atalanta</v>
      </c>
      <c r="D26" s="32" t="str">
        <f>VLOOKUP($D$2,Form_PrimeiraFase!$C$2:$FB$69,20,FALSE)</f>
        <v>Atalanta</v>
      </c>
      <c r="E26" s="32" t="str">
        <f>VLOOKUP($E$2,Form_PrimeiraFase!$C$2:$FB$69,20,FALSE)</f>
        <v>Atalanta</v>
      </c>
      <c r="F26" s="32" t="str">
        <f>VLOOKUP($F$2,Form_PrimeiraFase!$C$2:$FB$69,20,FALSE)</f>
        <v>Atalanta</v>
      </c>
      <c r="G26" s="32" t="str">
        <f>VLOOKUP($G$2,Form_PrimeiraFase!$C$2:$FB$69,20,FALSE)</f>
        <v>Atalanta</v>
      </c>
      <c r="H26" s="32" t="str">
        <f>VLOOKUP($H$2,Form_PrimeiraFase!$C$2:$FB$69,20,FALSE)</f>
        <v>Atalanta</v>
      </c>
      <c r="I26" s="32" t="str">
        <f>VLOOKUP($I$2,Form_PrimeiraFase!$C$2:$FB$69,20,FALSE)</f>
        <v>Atalanta</v>
      </c>
      <c r="J26" s="32" t="str">
        <f>VLOOKUP($J$2,Form_PrimeiraFase!$C$2:$FB$69,20,FALSE)</f>
        <v>Atalanta</v>
      </c>
      <c r="K26" s="32" t="str">
        <f>VLOOKUP($K$2,Form_PrimeiraFase!$C$2:$FB$69,20,FALSE)</f>
        <v>Atalanta</v>
      </c>
      <c r="L26" s="32" t="str">
        <f>VLOOKUP($L$2,Form_PrimeiraFase!$C$2:$FB$69,20,FALSE)</f>
        <v>Atalanta</v>
      </c>
      <c r="M26" s="32" t="str">
        <f>VLOOKUP($M$2,Form_PrimeiraFase!$C$2:$FB$69,20,FALSE)</f>
        <v>Atalanta</v>
      </c>
      <c r="N26" s="32" t="str">
        <f>VLOOKUP($N$2,Form_PrimeiraFase!$C$2:$FB$69,20,FALSE)</f>
        <v>Atalanta</v>
      </c>
      <c r="O26" s="32" t="str">
        <f>VLOOKUP($O$2,Form_PrimeiraFase!$C$2:$FB$69,20,FALSE)</f>
        <v>Empate</v>
      </c>
      <c r="P26" s="32" t="str">
        <f>VLOOKUP($P$2,Form_PrimeiraFase!$C$2:$FB$69,20,FALSE)</f>
        <v>Atalanta</v>
      </c>
      <c r="Q26" s="32" t="str">
        <f>VLOOKUP($Q$2,Form_PrimeiraFase!$C$2:$FB$69,20,FALSE)</f>
        <v>Atalanta</v>
      </c>
      <c r="R26" s="32" t="str">
        <f>VLOOKUP($R$2,Form_PrimeiraFase!$C$2:$FB$69,20,FALSE)</f>
        <v>Atalanta</v>
      </c>
      <c r="S26" s="32" t="str">
        <f>VLOOKUP($S$2,Form_PrimeiraFase!$C$2:$FB$69,20,FALSE)</f>
        <v>Atalanta</v>
      </c>
      <c r="T26" s="32" t="str">
        <f>VLOOKUP($T$2,Form_PrimeiraFase!$C$2:$FB$69,20,FALSE)</f>
        <v>Atalanta</v>
      </c>
      <c r="U26" s="32" t="str">
        <f>VLOOKUP($U$2,Form_PrimeiraFase!$C$2:$FB$69,20,FALSE)</f>
        <v>Atalanta</v>
      </c>
      <c r="V26" s="32" t="str">
        <f>VLOOKUP($V$2,Form_PrimeiraFase!$C$2:$FB$69,20,FALSE)</f>
        <v>Club Brugge</v>
      </c>
      <c r="W26" s="32" t="str">
        <f>VLOOKUP($W$2,Form_PrimeiraFase!$C$2:$FB$69,20,FALSE)</f>
        <v>Atalanta</v>
      </c>
      <c r="X26" s="33">
        <f t="shared" ref="X26:Y26" si="81">COUNTIF($C26:$W26,J26)</f>
        <v>19</v>
      </c>
      <c r="Y26" s="33">
        <f t="shared" si="81"/>
        <v>19</v>
      </c>
      <c r="Z26" s="33">
        <f t="shared" si="9"/>
        <v>19</v>
      </c>
      <c r="AA26" s="33">
        <f t="shared" si="10"/>
        <v>19</v>
      </c>
      <c r="AB26" s="33">
        <f t="shared" ref="AB26:AC26" si="82">COUNTIF($C26:$W26,N26)</f>
        <v>19</v>
      </c>
      <c r="AC26" s="33">
        <f t="shared" si="82"/>
        <v>1</v>
      </c>
      <c r="AD26" s="33">
        <f t="shared" si="12"/>
        <v>19</v>
      </c>
      <c r="AE26" s="33">
        <f t="shared" si="13"/>
        <v>19</v>
      </c>
      <c r="AF26" s="33">
        <f t="shared" si="14"/>
        <v>19</v>
      </c>
      <c r="AG26" s="33">
        <f t="shared" si="15"/>
        <v>19</v>
      </c>
      <c r="AH26" s="33">
        <f t="shared" si="16"/>
        <v>19</v>
      </c>
      <c r="AI26" s="33">
        <f t="shared" si="17"/>
        <v>19</v>
      </c>
      <c r="AJ26" s="33">
        <f t="shared" si="18"/>
        <v>19</v>
      </c>
      <c r="AK26" s="33">
        <f t="shared" si="19"/>
        <v>19</v>
      </c>
      <c r="AL26" s="33">
        <f t="shared" si="20"/>
        <v>19</v>
      </c>
      <c r="AM26" s="33">
        <f t="shared" si="21"/>
        <v>19</v>
      </c>
      <c r="AN26" s="33">
        <f t="shared" si="22"/>
        <v>19</v>
      </c>
      <c r="AO26" s="33">
        <f t="shared" ref="AO26:AR26" si="83">COUNTIF($C26:$W26,T26)</f>
        <v>19</v>
      </c>
      <c r="AP26" s="33">
        <f t="shared" si="83"/>
        <v>19</v>
      </c>
      <c r="AQ26" s="33">
        <f t="shared" si="83"/>
        <v>1</v>
      </c>
      <c r="AR26" s="33">
        <f t="shared" si="83"/>
        <v>19</v>
      </c>
      <c r="AS26" s="35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</row>
    <row r="27" ht="10.5" customHeight="1">
      <c r="A27" s="30" t="s">
        <v>53</v>
      </c>
      <c r="B27" s="31" t="s">
        <v>40</v>
      </c>
      <c r="C27" s="32" t="str">
        <f>VLOOKUP($C$2,Form_PrimeiraFase!$C$2:$FB$69,21,FALSE)</f>
        <v>Real Madrid</v>
      </c>
      <c r="D27" s="32" t="str">
        <f>VLOOKUP($D$2,Form_PrimeiraFase!$C$2:$FB$69,21,FALSE)</f>
        <v>Real Madrid</v>
      </c>
      <c r="E27" s="32" t="str">
        <f>VLOOKUP($E$2,Form_PrimeiraFase!$C$2:$FB$69,21,FALSE)</f>
        <v>Real Madrid</v>
      </c>
      <c r="F27" s="32" t="str">
        <f>VLOOKUP($F$2,Form_PrimeiraFase!$C$2:$FB$69,21,FALSE)</f>
        <v>Real Madrid</v>
      </c>
      <c r="G27" s="32" t="str">
        <f>VLOOKUP($G$2,Form_PrimeiraFase!$C$2:$FB$69,21,FALSE)</f>
        <v>Real Madrid</v>
      </c>
      <c r="H27" s="32" t="str">
        <f>VLOOKUP($H$2,Form_PrimeiraFase!$C$2:$FB$69,21,FALSE)</f>
        <v>Real Madrid</v>
      </c>
      <c r="I27" s="32" t="str">
        <f>VLOOKUP($I$2,Form_PrimeiraFase!$C$2:$FB$69,21,FALSE)</f>
        <v>Real Madrid</v>
      </c>
      <c r="J27" s="32" t="str">
        <f>VLOOKUP($J$2,Form_PrimeiraFase!$C$2:$FB$69,21,FALSE)</f>
        <v>Real Madrid</v>
      </c>
      <c r="K27" s="32" t="str">
        <f>VLOOKUP($K$2,Form_PrimeiraFase!$C$2:$FB$69,21,FALSE)</f>
        <v>Real Madrid</v>
      </c>
      <c r="L27" s="32" t="str">
        <f>VLOOKUP($L$2,Form_PrimeiraFase!$C$2:$FB$69,21,FALSE)</f>
        <v>Real Madrid</v>
      </c>
      <c r="M27" s="32" t="str">
        <f>VLOOKUP($M$2,Form_PrimeiraFase!$C$2:$FB$69,21,FALSE)</f>
        <v>Kairat</v>
      </c>
      <c r="N27" s="32" t="str">
        <f>VLOOKUP($N$2,Form_PrimeiraFase!$C$2:$FB$69,21,FALSE)</f>
        <v>Real Madrid</v>
      </c>
      <c r="O27" s="32" t="str">
        <f>VLOOKUP($O$2,Form_PrimeiraFase!$C$2:$FB$69,21,FALSE)</f>
        <v>Real Madrid</v>
      </c>
      <c r="P27" s="32" t="str">
        <f>VLOOKUP($P$2,Form_PrimeiraFase!$C$2:$FB$69,21,FALSE)</f>
        <v>Real Madrid</v>
      </c>
      <c r="Q27" s="32" t="str">
        <f>VLOOKUP($Q$2,Form_PrimeiraFase!$C$2:$FB$69,21,FALSE)</f>
        <v>Real Madrid</v>
      </c>
      <c r="R27" s="32" t="str">
        <f>VLOOKUP($R$2,Form_PrimeiraFase!$C$2:$FB$69,21,FALSE)</f>
        <v>Real Madrid</v>
      </c>
      <c r="S27" s="32" t="str">
        <f>VLOOKUP($S$2,Form_PrimeiraFase!$C$2:$FB$69,21,FALSE)</f>
        <v>Real Madrid</v>
      </c>
      <c r="T27" s="32" t="str">
        <f>VLOOKUP($T$2,Form_PrimeiraFase!$C$2:$FB$69,21,FALSE)</f>
        <v>Real Madrid</v>
      </c>
      <c r="U27" s="32" t="str">
        <f>VLOOKUP($U$2,Form_PrimeiraFase!$C$2:$FB$69,21,FALSE)</f>
        <v>Real Madrid</v>
      </c>
      <c r="V27" s="32" t="str">
        <f>VLOOKUP($V$2,Form_PrimeiraFase!$C$2:$FB$69,21,FALSE)</f>
        <v>Real Madrid</v>
      </c>
      <c r="W27" s="32" t="str">
        <f>VLOOKUP($W$2,Form_PrimeiraFase!$C$2:$FB$69,21,FALSE)</f>
        <v>Real Madrid</v>
      </c>
      <c r="X27" s="33">
        <f t="shared" ref="X27:Y27" si="84">COUNTIF($C27:$W27,J27)</f>
        <v>20</v>
      </c>
      <c r="Y27" s="33">
        <f t="shared" si="84"/>
        <v>20</v>
      </c>
      <c r="Z27" s="33">
        <f t="shared" si="9"/>
        <v>20</v>
      </c>
      <c r="AA27" s="33">
        <f t="shared" si="10"/>
        <v>20</v>
      </c>
      <c r="AB27" s="33">
        <f t="shared" ref="AB27:AC27" si="85">COUNTIF($C27:$W27,N27)</f>
        <v>20</v>
      </c>
      <c r="AC27" s="33">
        <f t="shared" si="85"/>
        <v>20</v>
      </c>
      <c r="AD27" s="33">
        <f t="shared" si="12"/>
        <v>20</v>
      </c>
      <c r="AE27" s="33">
        <f t="shared" si="13"/>
        <v>20</v>
      </c>
      <c r="AF27" s="33">
        <f t="shared" si="14"/>
        <v>20</v>
      </c>
      <c r="AG27" s="33">
        <f t="shared" si="15"/>
        <v>20</v>
      </c>
      <c r="AH27" s="33">
        <f t="shared" si="16"/>
        <v>20</v>
      </c>
      <c r="AI27" s="33">
        <f t="shared" si="17"/>
        <v>20</v>
      </c>
      <c r="AJ27" s="33">
        <f t="shared" si="18"/>
        <v>1</v>
      </c>
      <c r="AK27" s="33">
        <f t="shared" si="19"/>
        <v>20</v>
      </c>
      <c r="AL27" s="33">
        <f t="shared" si="20"/>
        <v>20</v>
      </c>
      <c r="AM27" s="33">
        <f t="shared" si="21"/>
        <v>20</v>
      </c>
      <c r="AN27" s="33">
        <f t="shared" si="22"/>
        <v>20</v>
      </c>
      <c r="AO27" s="33">
        <f t="shared" ref="AO27:AR27" si="86">COUNTIF($C27:$W27,T27)</f>
        <v>20</v>
      </c>
      <c r="AP27" s="33">
        <f t="shared" si="86"/>
        <v>20</v>
      </c>
      <c r="AQ27" s="33">
        <f t="shared" si="86"/>
        <v>20</v>
      </c>
      <c r="AR27" s="33">
        <f t="shared" si="86"/>
        <v>20</v>
      </c>
      <c r="AS27" s="35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</row>
    <row r="28" ht="10.5" customHeight="1">
      <c r="A28" s="30" t="s">
        <v>53</v>
      </c>
      <c r="B28" s="31" t="s">
        <v>47</v>
      </c>
      <c r="C28" s="32" t="str">
        <f>VLOOKUP($C$2,Form_PrimeiraFase!$C$2:$FB$69,22,FALSE)</f>
        <v>Internazionale</v>
      </c>
      <c r="D28" s="32" t="str">
        <f>VLOOKUP($D$2,Form_PrimeiraFase!$C$2:$FB$69,22,FALSE)</f>
        <v>Internazionale</v>
      </c>
      <c r="E28" s="32" t="str">
        <f>VLOOKUP($E$2,Form_PrimeiraFase!$C$2:$FB$69,22,FALSE)</f>
        <v>Internazionale</v>
      </c>
      <c r="F28" s="32" t="str">
        <f>VLOOKUP($F$2,Form_PrimeiraFase!$C$2:$FB$69,22,FALSE)</f>
        <v>Internazionale</v>
      </c>
      <c r="G28" s="32" t="str">
        <f>VLOOKUP($G$2,Form_PrimeiraFase!$C$2:$FB$69,22,FALSE)</f>
        <v>Internazionale</v>
      </c>
      <c r="H28" s="32" t="str">
        <f>VLOOKUP($H$2,Form_PrimeiraFase!$C$2:$FB$69,22,FALSE)</f>
        <v>Internazionale</v>
      </c>
      <c r="I28" s="32" t="str">
        <f>VLOOKUP($I$2,Form_PrimeiraFase!$C$2:$FB$69,22,FALSE)</f>
        <v>Internazionale</v>
      </c>
      <c r="J28" s="32" t="str">
        <f>VLOOKUP($J$2,Form_PrimeiraFase!$C$2:$FB$69,22,FALSE)</f>
        <v>Internazionale</v>
      </c>
      <c r="K28" s="32" t="str">
        <f>VLOOKUP($K$2,Form_PrimeiraFase!$C$2:$FB$69,22,FALSE)</f>
        <v>Internazionale</v>
      </c>
      <c r="L28" s="32" t="str">
        <f>VLOOKUP($L$2,Form_PrimeiraFase!$C$2:$FB$69,22,FALSE)</f>
        <v>Internazionale</v>
      </c>
      <c r="M28" s="32" t="str">
        <f>VLOOKUP($M$2,Form_PrimeiraFase!$C$2:$FB$69,22,FALSE)</f>
        <v>Internazionale</v>
      </c>
      <c r="N28" s="32" t="str">
        <f>VLOOKUP($N$2,Form_PrimeiraFase!$C$2:$FB$69,22,FALSE)</f>
        <v>Internazionale</v>
      </c>
      <c r="O28" s="32" t="str">
        <f>VLOOKUP($O$2,Form_PrimeiraFase!$C$2:$FB$69,22,FALSE)</f>
        <v>Internazionale</v>
      </c>
      <c r="P28" s="32" t="str">
        <f>VLOOKUP($P$2,Form_PrimeiraFase!$C$2:$FB$69,22,FALSE)</f>
        <v>Internazionale</v>
      </c>
      <c r="Q28" s="32" t="str">
        <f>VLOOKUP($Q$2,Form_PrimeiraFase!$C$2:$FB$69,22,FALSE)</f>
        <v>Internazionale</v>
      </c>
      <c r="R28" s="32" t="str">
        <f>VLOOKUP($R$2,Form_PrimeiraFase!$C$2:$FB$69,22,FALSE)</f>
        <v>Internazionale</v>
      </c>
      <c r="S28" s="32" t="str">
        <f>VLOOKUP($S$2,Form_PrimeiraFase!$C$2:$FB$69,22,FALSE)</f>
        <v>Internazionale</v>
      </c>
      <c r="T28" s="32" t="str">
        <f>VLOOKUP($T$2,Form_PrimeiraFase!$C$2:$FB$69,22,FALSE)</f>
        <v>Internazionale</v>
      </c>
      <c r="U28" s="32" t="str">
        <f>VLOOKUP($U$2,Form_PrimeiraFase!$C$2:$FB$69,22,FALSE)</f>
        <v>Internazionale</v>
      </c>
      <c r="V28" s="32" t="str">
        <f>VLOOKUP($V$2,Form_PrimeiraFase!$C$2:$FB$69,22,FALSE)</f>
        <v>Internazionale</v>
      </c>
      <c r="W28" s="32" t="str">
        <f>VLOOKUP($W$2,Form_PrimeiraFase!$C$2:$FB$69,22,FALSE)</f>
        <v>Internazionale</v>
      </c>
      <c r="X28" s="33">
        <f t="shared" ref="X28:Y28" si="87">COUNTIF($C28:$W28,J28)</f>
        <v>21</v>
      </c>
      <c r="Y28" s="33">
        <f t="shared" si="87"/>
        <v>21</v>
      </c>
      <c r="Z28" s="33">
        <f t="shared" si="9"/>
        <v>21</v>
      </c>
      <c r="AA28" s="33">
        <f t="shared" si="10"/>
        <v>21</v>
      </c>
      <c r="AB28" s="33">
        <f t="shared" ref="AB28:AC28" si="88">COUNTIF($C28:$W28,N28)</f>
        <v>21</v>
      </c>
      <c r="AC28" s="33">
        <f t="shared" si="88"/>
        <v>21</v>
      </c>
      <c r="AD28" s="33">
        <f t="shared" si="12"/>
        <v>21</v>
      </c>
      <c r="AE28" s="33">
        <f t="shared" si="13"/>
        <v>21</v>
      </c>
      <c r="AF28" s="33">
        <f t="shared" si="14"/>
        <v>21</v>
      </c>
      <c r="AG28" s="33">
        <f t="shared" si="15"/>
        <v>21</v>
      </c>
      <c r="AH28" s="33">
        <f t="shared" si="16"/>
        <v>21</v>
      </c>
      <c r="AI28" s="33">
        <f t="shared" si="17"/>
        <v>21</v>
      </c>
      <c r="AJ28" s="33">
        <f t="shared" si="18"/>
        <v>21</v>
      </c>
      <c r="AK28" s="33">
        <f t="shared" si="19"/>
        <v>21</v>
      </c>
      <c r="AL28" s="33">
        <f t="shared" si="20"/>
        <v>21</v>
      </c>
      <c r="AM28" s="33">
        <f t="shared" si="21"/>
        <v>21</v>
      </c>
      <c r="AN28" s="33">
        <f t="shared" si="22"/>
        <v>21</v>
      </c>
      <c r="AO28" s="33">
        <f t="shared" ref="AO28:AR28" si="89">COUNTIF($C28:$W28,T28)</f>
        <v>21</v>
      </c>
      <c r="AP28" s="33">
        <f t="shared" si="89"/>
        <v>21</v>
      </c>
      <c r="AQ28" s="33">
        <f t="shared" si="89"/>
        <v>21</v>
      </c>
      <c r="AR28" s="33">
        <f t="shared" si="89"/>
        <v>21</v>
      </c>
      <c r="AS28" s="3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</row>
    <row r="29" ht="10.5" customHeight="1">
      <c r="A29" s="30" t="s">
        <v>53</v>
      </c>
      <c r="B29" s="31" t="s">
        <v>55</v>
      </c>
      <c r="C29" s="32" t="str">
        <f>VLOOKUP($C$2,Form_PrimeiraFase!$C$2:$FB$69,23,FALSE)</f>
        <v>Chelsea</v>
      </c>
      <c r="D29" s="32" t="str">
        <f>VLOOKUP($D$2,Form_PrimeiraFase!$C$2:$FB$69,23,FALSE)</f>
        <v>Chelsea</v>
      </c>
      <c r="E29" s="32" t="str">
        <f>VLOOKUP($E$2,Form_PrimeiraFase!$C$2:$FB$69,23,FALSE)</f>
        <v>Chelsea</v>
      </c>
      <c r="F29" s="32" t="str">
        <f>VLOOKUP($F$2,Form_PrimeiraFase!$C$2:$FB$69,23,FALSE)</f>
        <v>Chelsea</v>
      </c>
      <c r="G29" s="32" t="str">
        <f>VLOOKUP($G$2,Form_PrimeiraFase!$C$2:$FB$69,23,FALSE)</f>
        <v>Chelsea</v>
      </c>
      <c r="H29" s="32" t="str">
        <f>VLOOKUP($H$2,Form_PrimeiraFase!$C$2:$FB$69,23,FALSE)</f>
        <v>Chelsea</v>
      </c>
      <c r="I29" s="32" t="str">
        <f>VLOOKUP($I$2,Form_PrimeiraFase!$C$2:$FB$69,23,FALSE)</f>
        <v>Chelsea</v>
      </c>
      <c r="J29" s="32" t="str">
        <f>VLOOKUP($J$2,Form_PrimeiraFase!$C$2:$FB$69,23,FALSE)</f>
        <v>Chelsea</v>
      </c>
      <c r="K29" s="32" t="str">
        <f>VLOOKUP($K$2,Form_PrimeiraFase!$C$2:$FB$69,23,FALSE)</f>
        <v>Chelsea</v>
      </c>
      <c r="L29" s="32" t="str">
        <f>VLOOKUP($L$2,Form_PrimeiraFase!$C$2:$FB$69,23,FALSE)</f>
        <v>Chelsea</v>
      </c>
      <c r="M29" s="32" t="str">
        <f>VLOOKUP($M$2,Form_PrimeiraFase!$C$2:$FB$69,23,FALSE)</f>
        <v>Chelsea</v>
      </c>
      <c r="N29" s="32" t="str">
        <f>VLOOKUP($N$2,Form_PrimeiraFase!$C$2:$FB$69,23,FALSE)</f>
        <v>Chelsea</v>
      </c>
      <c r="O29" s="32" t="str">
        <f>VLOOKUP($O$2,Form_PrimeiraFase!$C$2:$FB$69,23,FALSE)</f>
        <v>Chelsea</v>
      </c>
      <c r="P29" s="32" t="str">
        <f>VLOOKUP($P$2,Form_PrimeiraFase!$C$2:$FB$69,23,FALSE)</f>
        <v>Chelsea</v>
      </c>
      <c r="Q29" s="32" t="str">
        <f>VLOOKUP($Q$2,Form_PrimeiraFase!$C$2:$FB$69,23,FALSE)</f>
        <v>Chelsea</v>
      </c>
      <c r="R29" s="32" t="str">
        <f>VLOOKUP($R$2,Form_PrimeiraFase!$C$2:$FB$69,23,FALSE)</f>
        <v>Chelsea</v>
      </c>
      <c r="S29" s="32" t="str">
        <f>VLOOKUP($S$2,Form_PrimeiraFase!$C$2:$FB$69,23,FALSE)</f>
        <v>Chelsea</v>
      </c>
      <c r="T29" s="32" t="str">
        <f>VLOOKUP($T$2,Form_PrimeiraFase!$C$2:$FB$69,23,FALSE)</f>
        <v>Chelsea</v>
      </c>
      <c r="U29" s="32" t="str">
        <f>VLOOKUP($U$2,Form_PrimeiraFase!$C$2:$FB$69,23,FALSE)</f>
        <v>Chelsea</v>
      </c>
      <c r="V29" s="32" t="str">
        <f>VLOOKUP($V$2,Form_PrimeiraFase!$C$2:$FB$69,23,FALSE)</f>
        <v>Chelsea</v>
      </c>
      <c r="W29" s="32" t="str">
        <f>VLOOKUP($W$2,Form_PrimeiraFase!$C$2:$FB$69,23,FALSE)</f>
        <v>Chelsea</v>
      </c>
      <c r="X29" s="33">
        <f t="shared" ref="X29:Y29" si="90">COUNTIF($C29:$W29,J29)</f>
        <v>21</v>
      </c>
      <c r="Y29" s="33">
        <f t="shared" si="90"/>
        <v>21</v>
      </c>
      <c r="Z29" s="33">
        <f t="shared" si="9"/>
        <v>21</v>
      </c>
      <c r="AA29" s="33">
        <f t="shared" si="10"/>
        <v>21</v>
      </c>
      <c r="AB29" s="33">
        <f t="shared" ref="AB29:AC29" si="91">COUNTIF($C29:$W29,N29)</f>
        <v>21</v>
      </c>
      <c r="AC29" s="33">
        <f t="shared" si="91"/>
        <v>21</v>
      </c>
      <c r="AD29" s="33">
        <f t="shared" si="12"/>
        <v>21</v>
      </c>
      <c r="AE29" s="33">
        <f t="shared" si="13"/>
        <v>21</v>
      </c>
      <c r="AF29" s="33">
        <f t="shared" si="14"/>
        <v>21</v>
      </c>
      <c r="AG29" s="33">
        <f t="shared" si="15"/>
        <v>21</v>
      </c>
      <c r="AH29" s="33">
        <f t="shared" si="16"/>
        <v>21</v>
      </c>
      <c r="AI29" s="33">
        <f t="shared" si="17"/>
        <v>21</v>
      </c>
      <c r="AJ29" s="33">
        <f t="shared" si="18"/>
        <v>21</v>
      </c>
      <c r="AK29" s="33">
        <f t="shared" si="19"/>
        <v>21</v>
      </c>
      <c r="AL29" s="33">
        <f t="shared" si="20"/>
        <v>21</v>
      </c>
      <c r="AM29" s="33">
        <f t="shared" si="21"/>
        <v>21</v>
      </c>
      <c r="AN29" s="33">
        <f t="shared" si="22"/>
        <v>21</v>
      </c>
      <c r="AO29" s="33">
        <f t="shared" ref="AO29:AR29" si="92">COUNTIF($C29:$W29,T29)</f>
        <v>21</v>
      </c>
      <c r="AP29" s="33">
        <f t="shared" si="92"/>
        <v>21</v>
      </c>
      <c r="AQ29" s="33">
        <f t="shared" si="92"/>
        <v>21</v>
      </c>
      <c r="AR29" s="33">
        <f t="shared" si="92"/>
        <v>21</v>
      </c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</row>
    <row r="30" ht="10.5" customHeight="1">
      <c r="A30" s="30" t="s">
        <v>53</v>
      </c>
      <c r="B30" s="31" t="s">
        <v>56</v>
      </c>
      <c r="C30" s="32" t="str">
        <f>VLOOKUP($C$2,Form_PrimeiraFase!$C$2:$FB$69,24,FALSE)</f>
        <v>Atlético de Madrid</v>
      </c>
      <c r="D30" s="32" t="str">
        <f>VLOOKUP($D$2,Form_PrimeiraFase!$C$2:$FB$69,24,FALSE)</f>
        <v>Atlético de Madrid</v>
      </c>
      <c r="E30" s="32" t="str">
        <f>VLOOKUP($E$2,Form_PrimeiraFase!$C$2:$FB$69,24,FALSE)</f>
        <v>Atlético de Madrid</v>
      </c>
      <c r="F30" s="32" t="str">
        <f>VLOOKUP($F$2,Form_PrimeiraFase!$C$2:$FB$69,24,FALSE)</f>
        <v>Atlético de Madrid</v>
      </c>
      <c r="G30" s="32" t="str">
        <f>VLOOKUP($G$2,Form_PrimeiraFase!$C$2:$FB$69,24,FALSE)</f>
        <v>Atlético de Madrid</v>
      </c>
      <c r="H30" s="32" t="str">
        <f>VLOOKUP($H$2,Form_PrimeiraFase!$C$2:$FB$69,24,FALSE)</f>
        <v>Atlético de Madrid</v>
      </c>
      <c r="I30" s="32" t="str">
        <f>VLOOKUP($I$2,Form_PrimeiraFase!$C$2:$FB$69,24,FALSE)</f>
        <v>Atlético de Madrid</v>
      </c>
      <c r="J30" s="32" t="str">
        <f>VLOOKUP($J$2,Form_PrimeiraFase!$C$2:$FB$69,24,FALSE)</f>
        <v>Atlético de Madrid</v>
      </c>
      <c r="K30" s="32" t="str">
        <f>VLOOKUP($K$2,Form_PrimeiraFase!$C$2:$FB$69,24,FALSE)</f>
        <v>Atlético de Madrid</v>
      </c>
      <c r="L30" s="32" t="str">
        <f>VLOOKUP($L$2,Form_PrimeiraFase!$C$2:$FB$69,24,FALSE)</f>
        <v>Atlético de Madrid</v>
      </c>
      <c r="M30" s="32" t="str">
        <f>VLOOKUP($M$2,Form_PrimeiraFase!$C$2:$FB$69,24,FALSE)</f>
        <v>Atlético de Madrid</v>
      </c>
      <c r="N30" s="32" t="str">
        <f>VLOOKUP($N$2,Form_PrimeiraFase!$C$2:$FB$69,24,FALSE)</f>
        <v>Atlético de Madrid</v>
      </c>
      <c r="O30" s="32" t="str">
        <f>VLOOKUP($O$2,Form_PrimeiraFase!$C$2:$FB$69,24,FALSE)</f>
        <v>Atlético de Madrid</v>
      </c>
      <c r="P30" s="32" t="str">
        <f>VLOOKUP($P$2,Form_PrimeiraFase!$C$2:$FB$69,24,FALSE)</f>
        <v>Atlético de Madrid</v>
      </c>
      <c r="Q30" s="32" t="str">
        <f>VLOOKUP($Q$2,Form_PrimeiraFase!$C$2:$FB$69,24,FALSE)</f>
        <v>Empate</v>
      </c>
      <c r="R30" s="32" t="str">
        <f>VLOOKUP($R$2,Form_PrimeiraFase!$C$2:$FB$69,24,FALSE)</f>
        <v>Atlético de Madrid</v>
      </c>
      <c r="S30" s="32" t="str">
        <f>VLOOKUP($S$2,Form_PrimeiraFase!$C$2:$FB$69,24,FALSE)</f>
        <v>Atlético de Madrid</v>
      </c>
      <c r="T30" s="32" t="str">
        <f>VLOOKUP($T$2,Form_PrimeiraFase!$C$2:$FB$69,24,FALSE)</f>
        <v>Atlético de Madrid</v>
      </c>
      <c r="U30" s="32" t="str">
        <f>VLOOKUP($U$2,Form_PrimeiraFase!$C$2:$FB$69,24,FALSE)</f>
        <v>Atlético de Madrid</v>
      </c>
      <c r="V30" s="32" t="str">
        <f>VLOOKUP($V$2,Form_PrimeiraFase!$C$2:$FB$69,24,FALSE)</f>
        <v>Atlético de Madrid</v>
      </c>
      <c r="W30" s="32" t="str">
        <f>VLOOKUP($W$2,Form_PrimeiraFase!$C$2:$FB$69,24,FALSE)</f>
        <v>Atlético de Madrid</v>
      </c>
      <c r="X30" s="33">
        <f t="shared" ref="X30:Y30" si="93">COUNTIF($C30:$W30,J30)</f>
        <v>20</v>
      </c>
      <c r="Y30" s="33">
        <f t="shared" si="93"/>
        <v>20</v>
      </c>
      <c r="Z30" s="33">
        <f t="shared" si="9"/>
        <v>20</v>
      </c>
      <c r="AA30" s="33">
        <f t="shared" si="10"/>
        <v>20</v>
      </c>
      <c r="AB30" s="33">
        <f t="shared" ref="AB30:AC30" si="94">COUNTIF($C30:$W30,N30)</f>
        <v>20</v>
      </c>
      <c r="AC30" s="33">
        <f t="shared" si="94"/>
        <v>20</v>
      </c>
      <c r="AD30" s="33">
        <f t="shared" si="12"/>
        <v>20</v>
      </c>
      <c r="AE30" s="33">
        <f t="shared" si="13"/>
        <v>20</v>
      </c>
      <c r="AF30" s="33">
        <f t="shared" si="14"/>
        <v>20</v>
      </c>
      <c r="AG30" s="33">
        <f t="shared" si="15"/>
        <v>20</v>
      </c>
      <c r="AH30" s="33">
        <f t="shared" si="16"/>
        <v>20</v>
      </c>
      <c r="AI30" s="33">
        <f t="shared" si="17"/>
        <v>20</v>
      </c>
      <c r="AJ30" s="33">
        <f t="shared" si="18"/>
        <v>20</v>
      </c>
      <c r="AK30" s="33">
        <f t="shared" si="19"/>
        <v>20</v>
      </c>
      <c r="AL30" s="33">
        <f t="shared" si="20"/>
        <v>1</v>
      </c>
      <c r="AM30" s="33">
        <f t="shared" si="21"/>
        <v>20</v>
      </c>
      <c r="AN30" s="33">
        <f t="shared" si="22"/>
        <v>20</v>
      </c>
      <c r="AO30" s="33">
        <f t="shared" ref="AO30:AR30" si="95">COUNTIF($C30:$W30,T30)</f>
        <v>20</v>
      </c>
      <c r="AP30" s="33">
        <f t="shared" si="95"/>
        <v>20</v>
      </c>
      <c r="AQ30" s="33">
        <f t="shared" si="95"/>
        <v>20</v>
      </c>
      <c r="AR30" s="33">
        <f t="shared" si="95"/>
        <v>20</v>
      </c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ht="10.5" customHeight="1">
      <c r="A31" s="30" t="s">
        <v>53</v>
      </c>
      <c r="B31" s="31" t="s">
        <v>42</v>
      </c>
      <c r="C31" s="32" t="str">
        <f>VLOOKUP($C$2,Form_PrimeiraFase!$C$2:$FB$69,25,FALSE)</f>
        <v>Tottenham</v>
      </c>
      <c r="D31" s="32" t="str">
        <f>VLOOKUP($D$2,Form_PrimeiraFase!$C$2:$FB$69,25,FALSE)</f>
        <v>Tottenham</v>
      </c>
      <c r="E31" s="32" t="str">
        <f>VLOOKUP($E$2,Form_PrimeiraFase!$C$2:$FB$69,25,FALSE)</f>
        <v>Tottenham</v>
      </c>
      <c r="F31" s="32" t="str">
        <f>VLOOKUP($F$2,Form_PrimeiraFase!$C$2:$FB$69,25,FALSE)</f>
        <v>Tottenham</v>
      </c>
      <c r="G31" s="32" t="str">
        <f>VLOOKUP($G$2,Form_PrimeiraFase!$C$2:$FB$69,25,FALSE)</f>
        <v>Tottenham</v>
      </c>
      <c r="H31" s="32" t="str">
        <f>VLOOKUP($H$2,Form_PrimeiraFase!$C$2:$FB$69,25,FALSE)</f>
        <v>Tottenham</v>
      </c>
      <c r="I31" s="32" t="str">
        <f>VLOOKUP($I$2,Form_PrimeiraFase!$C$2:$FB$69,25,FALSE)</f>
        <v>Tottenham</v>
      </c>
      <c r="J31" s="32" t="str">
        <f>VLOOKUP($J$2,Form_PrimeiraFase!$C$2:$FB$69,25,FALSE)</f>
        <v>Tottenham</v>
      </c>
      <c r="K31" s="32" t="str">
        <f>VLOOKUP($K$2,Form_PrimeiraFase!$C$2:$FB$69,25,FALSE)</f>
        <v>Tottenham</v>
      </c>
      <c r="L31" s="32" t="str">
        <f>VLOOKUP($L$2,Form_PrimeiraFase!$C$2:$FB$69,25,FALSE)</f>
        <v>Empate</v>
      </c>
      <c r="M31" s="32" t="str">
        <f>VLOOKUP($M$2,Form_PrimeiraFase!$C$2:$FB$69,25,FALSE)</f>
        <v>Tottenham</v>
      </c>
      <c r="N31" s="32" t="str">
        <f>VLOOKUP($N$2,Form_PrimeiraFase!$C$2:$FB$69,25,FALSE)</f>
        <v>Tottenham</v>
      </c>
      <c r="O31" s="32" t="str">
        <f>VLOOKUP($O$2,Form_PrimeiraFase!$C$2:$FB$69,25,FALSE)</f>
        <v>Empate</v>
      </c>
      <c r="P31" s="32" t="str">
        <f>VLOOKUP($P$2,Form_PrimeiraFase!$C$2:$FB$69,25,FALSE)</f>
        <v>Tottenham</v>
      </c>
      <c r="Q31" s="32" t="str">
        <f>VLOOKUP($Q$2,Form_PrimeiraFase!$C$2:$FB$69,25,FALSE)</f>
        <v>Tottenham</v>
      </c>
      <c r="R31" s="32" t="str">
        <f>VLOOKUP($R$2,Form_PrimeiraFase!$C$2:$FB$69,25,FALSE)</f>
        <v>Tottenham</v>
      </c>
      <c r="S31" s="32" t="str">
        <f>VLOOKUP($S$2,Form_PrimeiraFase!$C$2:$FB$69,25,FALSE)</f>
        <v>Tottenham</v>
      </c>
      <c r="T31" s="32" t="str">
        <f>VLOOKUP($T$2,Form_PrimeiraFase!$C$2:$FB$69,25,FALSE)</f>
        <v>Empate</v>
      </c>
      <c r="U31" s="32" t="str">
        <f>VLOOKUP($U$2,Form_PrimeiraFase!$C$2:$FB$69,25,FALSE)</f>
        <v>Empate</v>
      </c>
      <c r="V31" s="32" t="str">
        <f>VLOOKUP($V$2,Form_PrimeiraFase!$C$2:$FB$69,25,FALSE)</f>
        <v>Tottenham</v>
      </c>
      <c r="W31" s="32" t="str">
        <f>VLOOKUP($W$2,Form_PrimeiraFase!$C$2:$FB$69,25,FALSE)</f>
        <v>Tottenham</v>
      </c>
      <c r="X31" s="33">
        <f t="shared" ref="X31:Y31" si="96">COUNTIF($C31:$W31,J31)</f>
        <v>17</v>
      </c>
      <c r="Y31" s="33">
        <f t="shared" si="96"/>
        <v>17</v>
      </c>
      <c r="Z31" s="33">
        <f t="shared" si="9"/>
        <v>17</v>
      </c>
      <c r="AA31" s="33">
        <f t="shared" si="10"/>
        <v>17</v>
      </c>
      <c r="AB31" s="33">
        <f t="shared" ref="AB31:AC31" si="97">COUNTIF($C31:$W31,N31)</f>
        <v>17</v>
      </c>
      <c r="AC31" s="33">
        <f t="shared" si="97"/>
        <v>4</v>
      </c>
      <c r="AD31" s="33">
        <f t="shared" si="12"/>
        <v>17</v>
      </c>
      <c r="AE31" s="33">
        <f t="shared" si="13"/>
        <v>17</v>
      </c>
      <c r="AF31" s="33">
        <f t="shared" si="14"/>
        <v>17</v>
      </c>
      <c r="AG31" s="33">
        <f t="shared" si="15"/>
        <v>17</v>
      </c>
      <c r="AH31" s="33">
        <f t="shared" si="16"/>
        <v>17</v>
      </c>
      <c r="AI31" s="33">
        <f t="shared" si="17"/>
        <v>17</v>
      </c>
      <c r="AJ31" s="33">
        <f t="shared" si="18"/>
        <v>17</v>
      </c>
      <c r="AK31" s="33">
        <f t="shared" si="19"/>
        <v>17</v>
      </c>
      <c r="AL31" s="33">
        <f t="shared" si="20"/>
        <v>17</v>
      </c>
      <c r="AM31" s="33">
        <f t="shared" si="21"/>
        <v>4</v>
      </c>
      <c r="AN31" s="33">
        <f t="shared" si="22"/>
        <v>17</v>
      </c>
      <c r="AO31" s="33">
        <f t="shared" ref="AO31:AR31" si="98">COUNTIF($C31:$W31,T31)</f>
        <v>4</v>
      </c>
      <c r="AP31" s="33">
        <f t="shared" si="98"/>
        <v>4</v>
      </c>
      <c r="AQ31" s="33">
        <f t="shared" si="98"/>
        <v>17</v>
      </c>
      <c r="AR31" s="33">
        <f t="shared" si="98"/>
        <v>17</v>
      </c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</row>
    <row r="32" ht="10.5" customHeight="1">
      <c r="A32" s="30" t="s">
        <v>53</v>
      </c>
      <c r="B32" s="31" t="s">
        <v>57</v>
      </c>
      <c r="C32" s="32" t="str">
        <f>VLOOKUP($C$2,Form_PrimeiraFase!$C$2:$FB$69,26,FALSE)</f>
        <v>Olympique de Marselha</v>
      </c>
      <c r="D32" s="32" t="str">
        <f>VLOOKUP($D$2,Form_PrimeiraFase!$C$2:$FB$69,26,FALSE)</f>
        <v>Ajax</v>
      </c>
      <c r="E32" s="32" t="str">
        <f>VLOOKUP($E$2,Form_PrimeiraFase!$C$2:$FB$69,26,FALSE)</f>
        <v>Ajax</v>
      </c>
      <c r="F32" s="32" t="str">
        <f>VLOOKUP($F$2,Form_PrimeiraFase!$C$2:$FB$69,26,FALSE)</f>
        <v>Olympique de Marselha</v>
      </c>
      <c r="G32" s="32" t="str">
        <f>VLOOKUP($G$2,Form_PrimeiraFase!$C$2:$FB$69,26,FALSE)</f>
        <v>Olympique de Marselha</v>
      </c>
      <c r="H32" s="32" t="str">
        <f>VLOOKUP($H$2,Form_PrimeiraFase!$C$2:$FB$69,26,FALSE)</f>
        <v>Ajax</v>
      </c>
      <c r="I32" s="32" t="str">
        <f>VLOOKUP($I$2,Form_PrimeiraFase!$C$2:$FB$69,26,FALSE)</f>
        <v>Olympique de Marselha</v>
      </c>
      <c r="J32" s="32" t="str">
        <f>VLOOKUP($J$2,Form_PrimeiraFase!$C$2:$FB$69,26,FALSE)</f>
        <v>Olympique de Marselha</v>
      </c>
      <c r="K32" s="32" t="str">
        <f>VLOOKUP($K$2,Form_PrimeiraFase!$C$2:$FB$69,26,FALSE)</f>
        <v>Empate</v>
      </c>
      <c r="L32" s="32" t="str">
        <f>VLOOKUP($L$2,Form_PrimeiraFase!$C$2:$FB$69,26,FALSE)</f>
        <v>Empate</v>
      </c>
      <c r="M32" s="32" t="str">
        <f>VLOOKUP($M$2,Form_PrimeiraFase!$C$2:$FB$69,26,FALSE)</f>
        <v>Olympique de Marselha</v>
      </c>
      <c r="N32" s="32" t="str">
        <f>VLOOKUP($N$2,Form_PrimeiraFase!$C$2:$FB$69,26,FALSE)</f>
        <v>Olympique de Marselha</v>
      </c>
      <c r="O32" s="32" t="str">
        <f>VLOOKUP($O$2,Form_PrimeiraFase!$C$2:$FB$69,26,FALSE)</f>
        <v>Ajax</v>
      </c>
      <c r="P32" s="32" t="str">
        <f>VLOOKUP($P$2,Form_PrimeiraFase!$C$2:$FB$69,26,FALSE)</f>
        <v>Olympique de Marselha</v>
      </c>
      <c r="Q32" s="32" t="str">
        <f>VLOOKUP($Q$2,Form_PrimeiraFase!$C$2:$FB$69,26,FALSE)</f>
        <v>Olympique de Marselha</v>
      </c>
      <c r="R32" s="32" t="str">
        <f>VLOOKUP($R$2,Form_PrimeiraFase!$C$2:$FB$69,26,FALSE)</f>
        <v>Olympique de Marselha</v>
      </c>
      <c r="S32" s="32" t="str">
        <f>VLOOKUP($S$2,Form_PrimeiraFase!$C$2:$FB$69,26,FALSE)</f>
        <v>Olympique de Marselha</v>
      </c>
      <c r="T32" s="32" t="str">
        <f>VLOOKUP($T$2,Form_PrimeiraFase!$C$2:$FB$69,26,FALSE)</f>
        <v>Empate</v>
      </c>
      <c r="U32" s="32" t="str">
        <f>VLOOKUP($U$2,Form_PrimeiraFase!$C$2:$FB$69,26,FALSE)</f>
        <v>Empate</v>
      </c>
      <c r="V32" s="32" t="str">
        <f>VLOOKUP($V$2,Form_PrimeiraFase!$C$2:$FB$69,26,FALSE)</f>
        <v>Empate</v>
      </c>
      <c r="W32" s="32" t="str">
        <f>VLOOKUP($W$2,Form_PrimeiraFase!$C$2:$FB$69,26,FALSE)</f>
        <v>Olympique de Marselha</v>
      </c>
      <c r="X32" s="33">
        <f t="shared" ref="X32:Y32" si="99">COUNTIF($C32:$W32,J32)</f>
        <v>12</v>
      </c>
      <c r="Y32" s="33">
        <f t="shared" si="99"/>
        <v>5</v>
      </c>
      <c r="Z32" s="33">
        <f t="shared" si="9"/>
        <v>12</v>
      </c>
      <c r="AA32" s="33">
        <f t="shared" si="10"/>
        <v>4</v>
      </c>
      <c r="AB32" s="33">
        <f t="shared" ref="AB32:AC32" si="100">COUNTIF($C32:$W32,N32)</f>
        <v>12</v>
      </c>
      <c r="AC32" s="33">
        <f t="shared" si="100"/>
        <v>4</v>
      </c>
      <c r="AD32" s="33">
        <f t="shared" si="12"/>
        <v>12</v>
      </c>
      <c r="AE32" s="33">
        <f t="shared" si="13"/>
        <v>12</v>
      </c>
      <c r="AF32" s="33">
        <f t="shared" si="14"/>
        <v>4</v>
      </c>
      <c r="AG32" s="33">
        <f t="shared" si="15"/>
        <v>12</v>
      </c>
      <c r="AH32" s="33">
        <f t="shared" si="16"/>
        <v>12</v>
      </c>
      <c r="AI32" s="33">
        <f t="shared" si="17"/>
        <v>12</v>
      </c>
      <c r="AJ32" s="33">
        <f t="shared" si="18"/>
        <v>12</v>
      </c>
      <c r="AK32" s="33">
        <f t="shared" si="19"/>
        <v>12</v>
      </c>
      <c r="AL32" s="33">
        <f t="shared" si="20"/>
        <v>12</v>
      </c>
      <c r="AM32" s="33">
        <f t="shared" si="21"/>
        <v>5</v>
      </c>
      <c r="AN32" s="33">
        <f t="shared" si="22"/>
        <v>4</v>
      </c>
      <c r="AO32" s="33">
        <f t="shared" ref="AO32:AR32" si="101">COUNTIF($C32:$W32,T32)</f>
        <v>5</v>
      </c>
      <c r="AP32" s="33">
        <f t="shared" si="101"/>
        <v>5</v>
      </c>
      <c r="AQ32" s="33">
        <f t="shared" si="101"/>
        <v>5</v>
      </c>
      <c r="AR32" s="33">
        <f t="shared" si="101"/>
        <v>12</v>
      </c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</row>
    <row r="33" ht="10.5" customHeight="1">
      <c r="A33" s="30" t="s">
        <v>53</v>
      </c>
      <c r="B33" s="31" t="s">
        <v>58</v>
      </c>
      <c r="C33" s="32" t="str">
        <f>VLOOKUP($C$2,Form_PrimeiraFase!$C$2:$FB$69,27,FALSE)</f>
        <v>Liverpool</v>
      </c>
      <c r="D33" s="32" t="str">
        <f>VLOOKUP($D$2,Form_PrimeiraFase!$C$2:$FB$69,27,FALSE)</f>
        <v>Liverpool</v>
      </c>
      <c r="E33" s="32" t="str">
        <f>VLOOKUP($E$2,Form_PrimeiraFase!$C$2:$FB$69,27,FALSE)</f>
        <v>Liverpool</v>
      </c>
      <c r="F33" s="32" t="str">
        <f>VLOOKUP($F$2,Form_PrimeiraFase!$C$2:$FB$69,27,FALSE)</f>
        <v>Liverpool</v>
      </c>
      <c r="G33" s="32" t="str">
        <f>VLOOKUP($G$2,Form_PrimeiraFase!$C$2:$FB$69,27,FALSE)</f>
        <v>Empate</v>
      </c>
      <c r="H33" s="32" t="str">
        <f>VLOOKUP($H$2,Form_PrimeiraFase!$C$2:$FB$69,27,FALSE)</f>
        <v>Liverpool</v>
      </c>
      <c r="I33" s="32" t="str">
        <f>VLOOKUP($I$2,Form_PrimeiraFase!$C$2:$FB$69,27,FALSE)</f>
        <v>Empate</v>
      </c>
      <c r="J33" s="32" t="str">
        <f>VLOOKUP($J$2,Form_PrimeiraFase!$C$2:$FB$69,27,FALSE)</f>
        <v>Liverpool</v>
      </c>
      <c r="K33" s="32" t="str">
        <f>VLOOKUP($K$2,Form_PrimeiraFase!$C$2:$FB$69,27,FALSE)</f>
        <v>Liverpool</v>
      </c>
      <c r="L33" s="32" t="str">
        <f>VLOOKUP($L$2,Form_PrimeiraFase!$C$2:$FB$69,27,FALSE)</f>
        <v>Liverpool</v>
      </c>
      <c r="M33" s="32" t="str">
        <f>VLOOKUP($M$2,Form_PrimeiraFase!$C$2:$FB$69,27,FALSE)</f>
        <v>Liverpool</v>
      </c>
      <c r="N33" s="32" t="str">
        <f>VLOOKUP($N$2,Form_PrimeiraFase!$C$2:$FB$69,27,FALSE)</f>
        <v>Liverpool</v>
      </c>
      <c r="O33" s="32" t="str">
        <f>VLOOKUP($O$2,Form_PrimeiraFase!$C$2:$FB$69,27,FALSE)</f>
        <v>Empate</v>
      </c>
      <c r="P33" s="32" t="str">
        <f>VLOOKUP($P$2,Form_PrimeiraFase!$C$2:$FB$69,27,FALSE)</f>
        <v>Liverpool</v>
      </c>
      <c r="Q33" s="32" t="str">
        <f>VLOOKUP($Q$2,Form_PrimeiraFase!$C$2:$FB$69,27,FALSE)</f>
        <v>Liverpool</v>
      </c>
      <c r="R33" s="32" t="str">
        <f>VLOOKUP($R$2,Form_PrimeiraFase!$C$2:$FB$69,27,FALSE)</f>
        <v>Liverpool</v>
      </c>
      <c r="S33" s="32" t="str">
        <f>VLOOKUP($S$2,Form_PrimeiraFase!$C$2:$FB$69,27,FALSE)</f>
        <v>Liverpool</v>
      </c>
      <c r="T33" s="32" t="str">
        <f>VLOOKUP($T$2,Form_PrimeiraFase!$C$2:$FB$69,27,FALSE)</f>
        <v>Empate</v>
      </c>
      <c r="U33" s="32" t="str">
        <f>VLOOKUP($U$2,Form_PrimeiraFase!$C$2:$FB$69,27,FALSE)</f>
        <v>Liverpool</v>
      </c>
      <c r="V33" s="32" t="str">
        <f>VLOOKUP($V$2,Form_PrimeiraFase!$C$2:$FB$69,27,FALSE)</f>
        <v>Liverpool</v>
      </c>
      <c r="W33" s="32" t="str">
        <f>VLOOKUP($W$2,Form_PrimeiraFase!$C$2:$FB$69,27,FALSE)</f>
        <v>Liverpool</v>
      </c>
      <c r="X33" s="33">
        <f t="shared" ref="X33:Y33" si="102">COUNTIF($C33:$W33,J33)</f>
        <v>17</v>
      </c>
      <c r="Y33" s="33">
        <f t="shared" si="102"/>
        <v>17</v>
      </c>
      <c r="Z33" s="33">
        <f t="shared" si="9"/>
        <v>17</v>
      </c>
      <c r="AA33" s="33">
        <f t="shared" si="10"/>
        <v>17</v>
      </c>
      <c r="AB33" s="33">
        <f t="shared" ref="AB33:AC33" si="103">COUNTIF($C33:$W33,N33)</f>
        <v>17</v>
      </c>
      <c r="AC33" s="33">
        <f t="shared" si="103"/>
        <v>4</v>
      </c>
      <c r="AD33" s="33">
        <f t="shared" si="12"/>
        <v>4</v>
      </c>
      <c r="AE33" s="33">
        <f t="shared" si="13"/>
        <v>17</v>
      </c>
      <c r="AF33" s="33">
        <f t="shared" si="14"/>
        <v>17</v>
      </c>
      <c r="AG33" s="33">
        <f t="shared" si="15"/>
        <v>17</v>
      </c>
      <c r="AH33" s="33">
        <f t="shared" si="16"/>
        <v>17</v>
      </c>
      <c r="AI33" s="33">
        <f t="shared" si="17"/>
        <v>17</v>
      </c>
      <c r="AJ33" s="33">
        <f t="shared" si="18"/>
        <v>17</v>
      </c>
      <c r="AK33" s="33">
        <f t="shared" si="19"/>
        <v>4</v>
      </c>
      <c r="AL33" s="33">
        <f t="shared" si="20"/>
        <v>17</v>
      </c>
      <c r="AM33" s="33">
        <f t="shared" si="21"/>
        <v>17</v>
      </c>
      <c r="AN33" s="33">
        <f t="shared" si="22"/>
        <v>17</v>
      </c>
      <c r="AO33" s="33">
        <f t="shared" ref="AO33:AR33" si="104">COUNTIF($C33:$W33,T33)</f>
        <v>4</v>
      </c>
      <c r="AP33" s="33">
        <f t="shared" si="104"/>
        <v>17</v>
      </c>
      <c r="AQ33" s="33">
        <f t="shared" si="104"/>
        <v>17</v>
      </c>
      <c r="AR33" s="33">
        <f t="shared" si="104"/>
        <v>17</v>
      </c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ht="10.5" customHeight="1">
      <c r="A34" s="30" t="s">
        <v>53</v>
      </c>
      <c r="B34" s="31" t="s">
        <v>45</v>
      </c>
      <c r="C34" s="32" t="str">
        <f>VLOOKUP($C$2,Form_PrimeiraFase!$C$2:$FB$69,28,FALSE)</f>
        <v>Bayern de Munique</v>
      </c>
      <c r="D34" s="32" t="str">
        <f>VLOOKUP($D$2,Form_PrimeiraFase!$C$2:$FB$69,28,FALSE)</f>
        <v>Bayern de Munique</v>
      </c>
      <c r="E34" s="32" t="str">
        <f>VLOOKUP($E$2,Form_PrimeiraFase!$C$2:$FB$69,28,FALSE)</f>
        <v>Bayern de Munique</v>
      </c>
      <c r="F34" s="32" t="str">
        <f>VLOOKUP($F$2,Form_PrimeiraFase!$C$2:$FB$69,28,FALSE)</f>
        <v>Bayern de Munique</v>
      </c>
      <c r="G34" s="32" t="str">
        <f>VLOOKUP($G$2,Form_PrimeiraFase!$C$2:$FB$69,28,FALSE)</f>
        <v>Bayern de Munique</v>
      </c>
      <c r="H34" s="32" t="str">
        <f>VLOOKUP($H$2,Form_PrimeiraFase!$C$2:$FB$69,28,FALSE)</f>
        <v>Bayern de Munique</v>
      </c>
      <c r="I34" s="32" t="str">
        <f>VLOOKUP($I$2,Form_PrimeiraFase!$C$2:$FB$69,28,FALSE)</f>
        <v>Bayern de Munique</v>
      </c>
      <c r="J34" s="32" t="str">
        <f>VLOOKUP($J$2,Form_PrimeiraFase!$C$2:$FB$69,28,FALSE)</f>
        <v>Bayern de Munique</v>
      </c>
      <c r="K34" s="32" t="str">
        <f>VLOOKUP($K$2,Form_PrimeiraFase!$C$2:$FB$69,28,FALSE)</f>
        <v>Bayern de Munique</v>
      </c>
      <c r="L34" s="32" t="str">
        <f>VLOOKUP($L$2,Form_PrimeiraFase!$C$2:$FB$69,28,FALSE)</f>
        <v>Bayern de Munique</v>
      </c>
      <c r="M34" s="32" t="str">
        <f>VLOOKUP($M$2,Form_PrimeiraFase!$C$2:$FB$69,28,FALSE)</f>
        <v>Bayern de Munique</v>
      </c>
      <c r="N34" s="32" t="str">
        <f>VLOOKUP($N$2,Form_PrimeiraFase!$C$2:$FB$69,28,FALSE)</f>
        <v>Bayern de Munique</v>
      </c>
      <c r="O34" s="32" t="str">
        <f>VLOOKUP($O$2,Form_PrimeiraFase!$C$2:$FB$69,28,FALSE)</f>
        <v>Bayern de Munique</v>
      </c>
      <c r="P34" s="32" t="str">
        <f>VLOOKUP($P$2,Form_PrimeiraFase!$C$2:$FB$69,28,FALSE)</f>
        <v>Bayern de Munique</v>
      </c>
      <c r="Q34" s="32" t="str">
        <f>VLOOKUP($Q$2,Form_PrimeiraFase!$C$2:$FB$69,28,FALSE)</f>
        <v>Bayern de Munique</v>
      </c>
      <c r="R34" s="32" t="str">
        <f>VLOOKUP($R$2,Form_PrimeiraFase!$C$2:$FB$69,28,FALSE)</f>
        <v>Bayern de Munique</v>
      </c>
      <c r="S34" s="32" t="str">
        <f>VLOOKUP($S$2,Form_PrimeiraFase!$C$2:$FB$69,28,FALSE)</f>
        <v>Bayern de Munique</v>
      </c>
      <c r="T34" s="32" t="str">
        <f>VLOOKUP($T$2,Form_PrimeiraFase!$C$2:$FB$69,28,FALSE)</f>
        <v>Bayern de Munique</v>
      </c>
      <c r="U34" s="32" t="str">
        <f>VLOOKUP($U$2,Form_PrimeiraFase!$C$2:$FB$69,28,FALSE)</f>
        <v>Bayern de Munique</v>
      </c>
      <c r="V34" s="32" t="str">
        <f>VLOOKUP($V$2,Form_PrimeiraFase!$C$2:$FB$69,28,FALSE)</f>
        <v>Bayern de Munique</v>
      </c>
      <c r="W34" s="32" t="str">
        <f>VLOOKUP($W$2,Form_PrimeiraFase!$C$2:$FB$69,28,FALSE)</f>
        <v>Bayern de Munique</v>
      </c>
      <c r="X34" s="33">
        <f t="shared" ref="X34:Y34" si="105">COUNTIF($C34:$W34,J34)</f>
        <v>21</v>
      </c>
      <c r="Y34" s="33">
        <f t="shared" si="105"/>
        <v>21</v>
      </c>
      <c r="Z34" s="33">
        <f t="shared" si="9"/>
        <v>21</v>
      </c>
      <c r="AA34" s="33">
        <f t="shared" si="10"/>
        <v>21</v>
      </c>
      <c r="AB34" s="33">
        <f t="shared" ref="AB34:AC34" si="106">COUNTIF($C34:$W34,N34)</f>
        <v>21</v>
      </c>
      <c r="AC34" s="33">
        <f t="shared" si="106"/>
        <v>21</v>
      </c>
      <c r="AD34" s="33">
        <f t="shared" si="12"/>
        <v>21</v>
      </c>
      <c r="AE34" s="33">
        <f t="shared" si="13"/>
        <v>21</v>
      </c>
      <c r="AF34" s="33">
        <f t="shared" si="14"/>
        <v>21</v>
      </c>
      <c r="AG34" s="33">
        <f t="shared" si="15"/>
        <v>21</v>
      </c>
      <c r="AH34" s="33">
        <f t="shared" si="16"/>
        <v>21</v>
      </c>
      <c r="AI34" s="33">
        <f t="shared" si="17"/>
        <v>21</v>
      </c>
      <c r="AJ34" s="33">
        <f t="shared" si="18"/>
        <v>21</v>
      </c>
      <c r="AK34" s="33">
        <f t="shared" si="19"/>
        <v>21</v>
      </c>
      <c r="AL34" s="33">
        <f t="shared" si="20"/>
        <v>21</v>
      </c>
      <c r="AM34" s="33">
        <f t="shared" si="21"/>
        <v>21</v>
      </c>
      <c r="AN34" s="33">
        <f t="shared" si="22"/>
        <v>21</v>
      </c>
      <c r="AO34" s="33">
        <f t="shared" ref="AO34:AR34" si="107">COUNTIF($C34:$W34,T34)</f>
        <v>21</v>
      </c>
      <c r="AP34" s="33">
        <f t="shared" si="107"/>
        <v>21</v>
      </c>
      <c r="AQ34" s="33">
        <f t="shared" si="107"/>
        <v>21</v>
      </c>
      <c r="AR34" s="33">
        <f t="shared" si="107"/>
        <v>21</v>
      </c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</row>
    <row r="35" ht="10.5" customHeight="1">
      <c r="A35" s="30" t="s">
        <v>53</v>
      </c>
      <c r="B35" s="31" t="s">
        <v>59</v>
      </c>
      <c r="C35" s="32" t="str">
        <f>VLOOKUP($C$2,Form_PrimeiraFase!$C$2:$FB$69,29,FALSE)</f>
        <v>Newcastle</v>
      </c>
      <c r="D35" s="32" t="str">
        <f>VLOOKUP($D$2,Form_PrimeiraFase!$C$2:$FB$69,29,FALSE)</f>
        <v>Newcastle</v>
      </c>
      <c r="E35" s="32" t="str">
        <f>VLOOKUP($E$2,Form_PrimeiraFase!$C$2:$FB$69,29,FALSE)</f>
        <v>Newcastle</v>
      </c>
      <c r="F35" s="32" t="str">
        <f>VLOOKUP($F$2,Form_PrimeiraFase!$C$2:$FB$69,29,FALSE)</f>
        <v>Newcastle</v>
      </c>
      <c r="G35" s="32" t="str">
        <f>VLOOKUP($G$2,Form_PrimeiraFase!$C$2:$FB$69,29,FALSE)</f>
        <v>Newcastle</v>
      </c>
      <c r="H35" s="32" t="str">
        <f>VLOOKUP($H$2,Form_PrimeiraFase!$C$2:$FB$69,29,FALSE)</f>
        <v>Newcastle</v>
      </c>
      <c r="I35" s="32" t="str">
        <f>VLOOKUP($I$2,Form_PrimeiraFase!$C$2:$FB$69,29,FALSE)</f>
        <v>Newcastle</v>
      </c>
      <c r="J35" s="32" t="str">
        <f>VLOOKUP($J$2,Form_PrimeiraFase!$C$2:$FB$69,29,FALSE)</f>
        <v>Newcastle</v>
      </c>
      <c r="K35" s="32" t="str">
        <f>VLOOKUP($K$2,Form_PrimeiraFase!$C$2:$FB$69,29,FALSE)</f>
        <v>Newcastle</v>
      </c>
      <c r="L35" s="32" t="str">
        <f>VLOOKUP($L$2,Form_PrimeiraFase!$C$2:$FB$69,29,FALSE)</f>
        <v>Newcastle</v>
      </c>
      <c r="M35" s="32" t="str">
        <f>VLOOKUP($M$2,Form_PrimeiraFase!$C$2:$FB$69,29,FALSE)</f>
        <v>Newcastle</v>
      </c>
      <c r="N35" s="32" t="str">
        <f>VLOOKUP($N$2,Form_PrimeiraFase!$C$2:$FB$69,29,FALSE)</f>
        <v>Newcastle</v>
      </c>
      <c r="O35" s="32" t="str">
        <f>VLOOKUP($O$2,Form_PrimeiraFase!$C$2:$FB$69,29,FALSE)</f>
        <v>Newcastle</v>
      </c>
      <c r="P35" s="32" t="str">
        <f>VLOOKUP($P$2,Form_PrimeiraFase!$C$2:$FB$69,29,FALSE)</f>
        <v>Newcastle</v>
      </c>
      <c r="Q35" s="32" t="str">
        <f>VLOOKUP($Q$2,Form_PrimeiraFase!$C$2:$FB$69,29,FALSE)</f>
        <v>Newcastle</v>
      </c>
      <c r="R35" s="32" t="str">
        <f>VLOOKUP($R$2,Form_PrimeiraFase!$C$2:$FB$69,29,FALSE)</f>
        <v>Newcastle</v>
      </c>
      <c r="S35" s="32" t="str">
        <f>VLOOKUP($S$2,Form_PrimeiraFase!$C$2:$FB$69,29,FALSE)</f>
        <v>Newcastle</v>
      </c>
      <c r="T35" s="32" t="str">
        <f>VLOOKUP($T$2,Form_PrimeiraFase!$C$2:$FB$69,29,FALSE)</f>
        <v>Newcastle</v>
      </c>
      <c r="U35" s="32" t="str">
        <f>VLOOKUP($U$2,Form_PrimeiraFase!$C$2:$FB$69,29,FALSE)</f>
        <v>Newcastle</v>
      </c>
      <c r="V35" s="32" t="str">
        <f>VLOOKUP($V$2,Form_PrimeiraFase!$C$2:$FB$69,29,FALSE)</f>
        <v>Newcastle</v>
      </c>
      <c r="W35" s="32" t="str">
        <f>VLOOKUP($W$2,Form_PrimeiraFase!$C$2:$FB$69,29,FALSE)</f>
        <v>Newcastle</v>
      </c>
      <c r="X35" s="33">
        <f t="shared" ref="X35:Y35" si="108">COUNTIF($C35:$W35,J35)</f>
        <v>21</v>
      </c>
      <c r="Y35" s="33">
        <f t="shared" si="108"/>
        <v>21</v>
      </c>
      <c r="Z35" s="33">
        <f t="shared" si="9"/>
        <v>21</v>
      </c>
      <c r="AA35" s="33">
        <f t="shared" si="10"/>
        <v>21</v>
      </c>
      <c r="AB35" s="33">
        <f t="shared" ref="AB35:AC35" si="109">COUNTIF($C35:$W35,N35)</f>
        <v>21</v>
      </c>
      <c r="AC35" s="33">
        <f t="shared" si="109"/>
        <v>21</v>
      </c>
      <c r="AD35" s="33">
        <f t="shared" si="12"/>
        <v>21</v>
      </c>
      <c r="AE35" s="33">
        <f t="shared" si="13"/>
        <v>21</v>
      </c>
      <c r="AF35" s="33">
        <f t="shared" si="14"/>
        <v>21</v>
      </c>
      <c r="AG35" s="33">
        <f t="shared" si="15"/>
        <v>21</v>
      </c>
      <c r="AH35" s="33">
        <f t="shared" si="16"/>
        <v>21</v>
      </c>
      <c r="AI35" s="33">
        <f t="shared" si="17"/>
        <v>21</v>
      </c>
      <c r="AJ35" s="33">
        <f t="shared" si="18"/>
        <v>21</v>
      </c>
      <c r="AK35" s="33">
        <f t="shared" si="19"/>
        <v>21</v>
      </c>
      <c r="AL35" s="33">
        <f t="shared" si="20"/>
        <v>21</v>
      </c>
      <c r="AM35" s="33">
        <f t="shared" si="21"/>
        <v>21</v>
      </c>
      <c r="AN35" s="33">
        <f t="shared" si="22"/>
        <v>21</v>
      </c>
      <c r="AO35" s="33">
        <f t="shared" ref="AO35:AR35" si="110">COUNTIF($C35:$W35,T35)</f>
        <v>21</v>
      </c>
      <c r="AP35" s="33">
        <f t="shared" si="110"/>
        <v>21</v>
      </c>
      <c r="AQ35" s="33">
        <f t="shared" si="110"/>
        <v>21</v>
      </c>
      <c r="AR35" s="33">
        <f t="shared" si="110"/>
        <v>21</v>
      </c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ht="10.5" customHeight="1">
      <c r="A36" s="30" t="s">
        <v>53</v>
      </c>
      <c r="B36" s="31" t="s">
        <v>41</v>
      </c>
      <c r="C36" s="32" t="str">
        <f>VLOOKUP($C$2,Form_PrimeiraFase!$C$2:$FB$69,30,FALSE)</f>
        <v>Copenhagen</v>
      </c>
      <c r="D36" s="32" t="str">
        <f>VLOOKUP($D$2,Form_PrimeiraFase!$C$2:$FB$69,30,FALSE)</f>
        <v>Qarabag</v>
      </c>
      <c r="E36" s="32" t="str">
        <f>VLOOKUP($E$2,Form_PrimeiraFase!$C$2:$FB$69,30,FALSE)</f>
        <v>Copenhagen</v>
      </c>
      <c r="F36" s="32" t="str">
        <f>VLOOKUP($F$2,Form_PrimeiraFase!$C$2:$FB$69,30,FALSE)</f>
        <v>Copenhagen</v>
      </c>
      <c r="G36" s="32" t="str">
        <f>VLOOKUP($G$2,Form_PrimeiraFase!$C$2:$FB$69,30,FALSE)</f>
        <v>Empate</v>
      </c>
      <c r="H36" s="32" t="str">
        <f>VLOOKUP($H$2,Form_PrimeiraFase!$C$2:$FB$69,30,FALSE)</f>
        <v>Qarabag</v>
      </c>
      <c r="I36" s="32" t="str">
        <f>VLOOKUP($I$2,Form_PrimeiraFase!$C$2:$FB$69,30,FALSE)</f>
        <v>Empate</v>
      </c>
      <c r="J36" s="32" t="str">
        <f>VLOOKUP($J$2,Form_PrimeiraFase!$C$2:$FB$69,30,FALSE)</f>
        <v>Empate</v>
      </c>
      <c r="K36" s="32" t="str">
        <f>VLOOKUP($K$2,Form_PrimeiraFase!$C$2:$FB$69,30,FALSE)</f>
        <v>Copenhagen</v>
      </c>
      <c r="L36" s="32" t="str">
        <f>VLOOKUP($L$2,Form_PrimeiraFase!$C$2:$FB$69,30,FALSE)</f>
        <v>Qarabag</v>
      </c>
      <c r="M36" s="32" t="str">
        <f>VLOOKUP($M$2,Form_PrimeiraFase!$C$2:$FB$69,30,FALSE)</f>
        <v>Empate</v>
      </c>
      <c r="N36" s="32" t="str">
        <f>VLOOKUP($N$2,Form_PrimeiraFase!$C$2:$FB$69,30,FALSE)</f>
        <v>Copenhagen</v>
      </c>
      <c r="O36" s="32" t="str">
        <f>VLOOKUP($O$2,Form_PrimeiraFase!$C$2:$FB$69,30,FALSE)</f>
        <v>Empate</v>
      </c>
      <c r="P36" s="32" t="str">
        <f>VLOOKUP($P$2,Form_PrimeiraFase!$C$2:$FB$69,30,FALSE)</f>
        <v>Qarabag</v>
      </c>
      <c r="Q36" s="32" t="str">
        <f>VLOOKUP($Q$2,Form_PrimeiraFase!$C$2:$FB$69,30,FALSE)</f>
        <v>Qarabag</v>
      </c>
      <c r="R36" s="32" t="str">
        <f>VLOOKUP($R$2,Form_PrimeiraFase!$C$2:$FB$69,30,FALSE)</f>
        <v>Qarabag</v>
      </c>
      <c r="S36" s="32" t="str">
        <f>VLOOKUP($S$2,Form_PrimeiraFase!$C$2:$FB$69,30,FALSE)</f>
        <v>Copenhagen</v>
      </c>
      <c r="T36" s="32" t="str">
        <f>VLOOKUP($T$2,Form_PrimeiraFase!$C$2:$FB$69,30,FALSE)</f>
        <v>Copenhagen</v>
      </c>
      <c r="U36" s="32" t="str">
        <f>VLOOKUP($U$2,Form_PrimeiraFase!$C$2:$FB$69,30,FALSE)</f>
        <v>Empate</v>
      </c>
      <c r="V36" s="32" t="str">
        <f>VLOOKUP($V$2,Form_PrimeiraFase!$C$2:$FB$69,30,FALSE)</f>
        <v>Empate</v>
      </c>
      <c r="W36" s="32" t="str">
        <f>VLOOKUP($W$2,Form_PrimeiraFase!$C$2:$FB$69,30,FALSE)</f>
        <v>Copenhagen</v>
      </c>
      <c r="X36" s="33">
        <f t="shared" ref="X36:Y36" si="111">COUNTIF($C36:$W36,J36)</f>
        <v>7</v>
      </c>
      <c r="Y36" s="33">
        <f t="shared" si="111"/>
        <v>8</v>
      </c>
      <c r="Z36" s="33">
        <f t="shared" si="9"/>
        <v>6</v>
      </c>
      <c r="AA36" s="33">
        <f t="shared" si="10"/>
        <v>6</v>
      </c>
      <c r="AB36" s="33">
        <f t="shared" ref="AB36:AC36" si="112">COUNTIF($C36:$W36,N36)</f>
        <v>8</v>
      </c>
      <c r="AC36" s="33">
        <f t="shared" si="112"/>
        <v>7</v>
      </c>
      <c r="AD36" s="33">
        <f t="shared" si="12"/>
        <v>7</v>
      </c>
      <c r="AE36" s="33">
        <f t="shared" si="13"/>
        <v>8</v>
      </c>
      <c r="AF36" s="33">
        <f t="shared" si="14"/>
        <v>8</v>
      </c>
      <c r="AG36" s="33">
        <f t="shared" si="15"/>
        <v>8</v>
      </c>
      <c r="AH36" s="33">
        <f t="shared" si="16"/>
        <v>8</v>
      </c>
      <c r="AI36" s="33">
        <f t="shared" si="17"/>
        <v>6</v>
      </c>
      <c r="AJ36" s="33">
        <f t="shared" si="18"/>
        <v>7</v>
      </c>
      <c r="AK36" s="33">
        <f t="shared" si="19"/>
        <v>7</v>
      </c>
      <c r="AL36" s="33">
        <f t="shared" si="20"/>
        <v>6</v>
      </c>
      <c r="AM36" s="33">
        <f t="shared" si="21"/>
        <v>6</v>
      </c>
      <c r="AN36" s="33">
        <f t="shared" si="22"/>
        <v>6</v>
      </c>
      <c r="AO36" s="33">
        <f t="shared" ref="AO36:AR36" si="113">COUNTIF($C36:$W36,T36)</f>
        <v>8</v>
      </c>
      <c r="AP36" s="33">
        <f t="shared" si="113"/>
        <v>7</v>
      </c>
      <c r="AQ36" s="33">
        <f t="shared" si="113"/>
        <v>7</v>
      </c>
      <c r="AR36" s="33">
        <f t="shared" si="113"/>
        <v>8</v>
      </c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</row>
    <row r="37" ht="10.5" customHeight="1">
      <c r="A37" s="30" t="s">
        <v>53</v>
      </c>
      <c r="B37" s="31" t="s">
        <v>39</v>
      </c>
      <c r="C37" s="32" t="str">
        <f>VLOOKUP($C$2,Form_PrimeiraFase!$C$2:$FB$69,31,FALSE)</f>
        <v>Arsenal</v>
      </c>
      <c r="D37" s="32" t="str">
        <f>VLOOKUP($D$2,Form_PrimeiraFase!$C$2:$FB$69,31,FALSE)</f>
        <v>Arsenal</v>
      </c>
      <c r="E37" s="32" t="str">
        <f>VLOOKUP($E$2,Form_PrimeiraFase!$C$2:$FB$69,31,FALSE)</f>
        <v>Arsenal</v>
      </c>
      <c r="F37" s="32" t="str">
        <f>VLOOKUP($F$2,Form_PrimeiraFase!$C$2:$FB$69,31,FALSE)</f>
        <v>Arsenal</v>
      </c>
      <c r="G37" s="32" t="str">
        <f>VLOOKUP($G$2,Form_PrimeiraFase!$C$2:$FB$69,31,FALSE)</f>
        <v>Arsenal</v>
      </c>
      <c r="H37" s="32" t="str">
        <f>VLOOKUP($H$2,Form_PrimeiraFase!$C$2:$FB$69,31,FALSE)</f>
        <v>Arsenal</v>
      </c>
      <c r="I37" s="32" t="str">
        <f>VLOOKUP($I$2,Form_PrimeiraFase!$C$2:$FB$69,31,FALSE)</f>
        <v>Arsenal</v>
      </c>
      <c r="J37" s="32" t="str">
        <f>VLOOKUP($J$2,Form_PrimeiraFase!$C$2:$FB$69,31,FALSE)</f>
        <v>Arsenal</v>
      </c>
      <c r="K37" s="32" t="str">
        <f>VLOOKUP($K$2,Form_PrimeiraFase!$C$2:$FB$69,31,FALSE)</f>
        <v>Arsenal</v>
      </c>
      <c r="L37" s="32" t="str">
        <f>VLOOKUP($L$2,Form_PrimeiraFase!$C$2:$FB$69,31,FALSE)</f>
        <v>Arsenal</v>
      </c>
      <c r="M37" s="32" t="str">
        <f>VLOOKUP($M$2,Form_PrimeiraFase!$C$2:$FB$69,31,FALSE)</f>
        <v>Arsenal</v>
      </c>
      <c r="N37" s="32" t="str">
        <f>VLOOKUP($N$2,Form_PrimeiraFase!$C$2:$FB$69,31,FALSE)</f>
        <v>Arsenal</v>
      </c>
      <c r="O37" s="32" t="str">
        <f>VLOOKUP($O$2,Form_PrimeiraFase!$C$2:$FB$69,31,FALSE)</f>
        <v>Arsenal</v>
      </c>
      <c r="P37" s="32" t="str">
        <f>VLOOKUP($P$2,Form_PrimeiraFase!$C$2:$FB$69,31,FALSE)</f>
        <v>Arsenal</v>
      </c>
      <c r="Q37" s="32" t="str">
        <f>VLOOKUP($Q$2,Form_PrimeiraFase!$C$2:$FB$69,31,FALSE)</f>
        <v>Arsenal</v>
      </c>
      <c r="R37" s="32" t="str">
        <f>VLOOKUP($R$2,Form_PrimeiraFase!$C$2:$FB$69,31,FALSE)</f>
        <v>Arsenal</v>
      </c>
      <c r="S37" s="32" t="str">
        <f>VLOOKUP($S$2,Form_PrimeiraFase!$C$2:$FB$69,31,FALSE)</f>
        <v>Arsenal</v>
      </c>
      <c r="T37" s="32" t="str">
        <f>VLOOKUP($T$2,Form_PrimeiraFase!$C$2:$FB$69,31,FALSE)</f>
        <v>Arsenal</v>
      </c>
      <c r="U37" s="32" t="str">
        <f>VLOOKUP($U$2,Form_PrimeiraFase!$C$2:$FB$69,31,FALSE)</f>
        <v>Arsenal</v>
      </c>
      <c r="V37" s="32" t="str">
        <f>VLOOKUP($V$2,Form_PrimeiraFase!$C$2:$FB$69,31,FALSE)</f>
        <v>Arsenal</v>
      </c>
      <c r="W37" s="32" t="str">
        <f>VLOOKUP($W$2,Form_PrimeiraFase!$C$2:$FB$69,31,FALSE)</f>
        <v>Arsenal</v>
      </c>
      <c r="X37" s="33">
        <f t="shared" ref="X37:Y37" si="114">COUNTIF($C37:$W37,J37)</f>
        <v>21</v>
      </c>
      <c r="Y37" s="33">
        <f t="shared" si="114"/>
        <v>21</v>
      </c>
      <c r="Z37" s="33">
        <f t="shared" si="9"/>
        <v>21</v>
      </c>
      <c r="AA37" s="33">
        <f t="shared" si="10"/>
        <v>21</v>
      </c>
      <c r="AB37" s="33">
        <f t="shared" ref="AB37:AC37" si="115">COUNTIF($C37:$W37,N37)</f>
        <v>21</v>
      </c>
      <c r="AC37" s="33">
        <f t="shared" si="115"/>
        <v>21</v>
      </c>
      <c r="AD37" s="33">
        <f t="shared" si="12"/>
        <v>21</v>
      </c>
      <c r="AE37" s="33">
        <f t="shared" si="13"/>
        <v>21</v>
      </c>
      <c r="AF37" s="33">
        <f t="shared" si="14"/>
        <v>21</v>
      </c>
      <c r="AG37" s="33">
        <f t="shared" si="15"/>
        <v>21</v>
      </c>
      <c r="AH37" s="33">
        <f t="shared" si="16"/>
        <v>21</v>
      </c>
      <c r="AI37" s="33">
        <f t="shared" si="17"/>
        <v>21</v>
      </c>
      <c r="AJ37" s="33">
        <f t="shared" si="18"/>
        <v>21</v>
      </c>
      <c r="AK37" s="33">
        <f t="shared" si="19"/>
        <v>21</v>
      </c>
      <c r="AL37" s="33">
        <f t="shared" si="20"/>
        <v>21</v>
      </c>
      <c r="AM37" s="33">
        <f t="shared" si="21"/>
        <v>21</v>
      </c>
      <c r="AN37" s="33">
        <f t="shared" si="22"/>
        <v>21</v>
      </c>
      <c r="AO37" s="33">
        <f t="shared" ref="AO37:AR37" si="116">COUNTIF($C37:$W37,T37)</f>
        <v>21</v>
      </c>
      <c r="AP37" s="33">
        <f t="shared" si="116"/>
        <v>21</v>
      </c>
      <c r="AQ37" s="33">
        <f t="shared" si="116"/>
        <v>21</v>
      </c>
      <c r="AR37" s="33">
        <f t="shared" si="116"/>
        <v>21</v>
      </c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</row>
    <row r="38" ht="10.5" customHeight="1">
      <c r="A38" s="30" t="s">
        <v>53</v>
      </c>
      <c r="B38" s="31" t="s">
        <v>42</v>
      </c>
      <c r="C38" s="32" t="str">
        <f>VLOOKUP($C$2,Form_PrimeiraFase!$C$2:$FB$69,32,FALSE)</f>
        <v>Bayer Leverkusen</v>
      </c>
      <c r="D38" s="32" t="str">
        <f>VLOOKUP($D$2,Form_PrimeiraFase!$C$2:$FB$69,32,FALSE)</f>
        <v>Bayer Leverkusen</v>
      </c>
      <c r="E38" s="32" t="str">
        <f>VLOOKUP($E$2,Form_PrimeiraFase!$C$2:$FB$69,32,FALSE)</f>
        <v>Bayer Leverkusen</v>
      </c>
      <c r="F38" s="32" t="str">
        <f>VLOOKUP($F$2,Form_PrimeiraFase!$C$2:$FB$69,32,FALSE)</f>
        <v>Bayer Leverkusen</v>
      </c>
      <c r="G38" s="32" t="str">
        <f>VLOOKUP($G$2,Form_PrimeiraFase!$C$2:$FB$69,32,FALSE)</f>
        <v>Bayer Leverkusen</v>
      </c>
      <c r="H38" s="32" t="str">
        <f>VLOOKUP($H$2,Form_PrimeiraFase!$C$2:$FB$69,32,FALSE)</f>
        <v>Bayer Leverkusen</v>
      </c>
      <c r="I38" s="32" t="str">
        <f>VLOOKUP($I$2,Form_PrimeiraFase!$C$2:$FB$69,32,FALSE)</f>
        <v>Bayer Leverkusen</v>
      </c>
      <c r="J38" s="32" t="str">
        <f>VLOOKUP($J$2,Form_PrimeiraFase!$C$2:$FB$69,32,FALSE)</f>
        <v>Bayer Leverkusen</v>
      </c>
      <c r="K38" s="32" t="str">
        <f>VLOOKUP($K$2,Form_PrimeiraFase!$C$2:$FB$69,32,FALSE)</f>
        <v>Empate</v>
      </c>
      <c r="L38" s="32" t="str">
        <f>VLOOKUP($L$2,Form_PrimeiraFase!$C$2:$FB$69,32,FALSE)</f>
        <v>Bayer Leverkusen</v>
      </c>
      <c r="M38" s="32" t="str">
        <f>VLOOKUP($M$2,Form_PrimeiraFase!$C$2:$FB$69,32,FALSE)</f>
        <v>Empate</v>
      </c>
      <c r="N38" s="32" t="str">
        <f>VLOOKUP($N$2,Form_PrimeiraFase!$C$2:$FB$69,32,FALSE)</f>
        <v>Empate</v>
      </c>
      <c r="O38" s="32" t="str">
        <f>VLOOKUP($O$2,Form_PrimeiraFase!$C$2:$FB$69,32,FALSE)</f>
        <v>Empate</v>
      </c>
      <c r="P38" s="32" t="str">
        <f>VLOOKUP($P$2,Form_PrimeiraFase!$C$2:$FB$69,32,FALSE)</f>
        <v>Bayer Leverkusen</v>
      </c>
      <c r="Q38" s="32" t="str">
        <f>VLOOKUP($Q$2,Form_PrimeiraFase!$C$2:$FB$69,32,FALSE)</f>
        <v>Empate</v>
      </c>
      <c r="R38" s="32" t="str">
        <f>VLOOKUP($R$2,Form_PrimeiraFase!$C$2:$FB$69,32,FALSE)</f>
        <v>Empate</v>
      </c>
      <c r="S38" s="32" t="str">
        <f>VLOOKUP($S$2,Form_PrimeiraFase!$C$2:$FB$69,32,FALSE)</f>
        <v>Bayer Leverkusen</v>
      </c>
      <c r="T38" s="32" t="str">
        <f>VLOOKUP($T$2,Form_PrimeiraFase!$C$2:$FB$69,32,FALSE)</f>
        <v>Bayer Leverkusen</v>
      </c>
      <c r="U38" s="32" t="str">
        <f>VLOOKUP($U$2,Form_PrimeiraFase!$C$2:$FB$69,32,FALSE)</f>
        <v>Bayer Leverkusen</v>
      </c>
      <c r="V38" s="32" t="str">
        <f>VLOOKUP($V$2,Form_PrimeiraFase!$C$2:$FB$69,32,FALSE)</f>
        <v>PSV Eindhoven</v>
      </c>
      <c r="W38" s="32" t="str">
        <f>VLOOKUP($W$2,Form_PrimeiraFase!$C$2:$FB$69,32,FALSE)</f>
        <v>Bayer Leverkusen</v>
      </c>
      <c r="X38" s="33">
        <f t="shared" ref="X38:Y38" si="117">COUNTIF($C38:$W38,J38)</f>
        <v>14</v>
      </c>
      <c r="Y38" s="33">
        <f t="shared" si="117"/>
        <v>6</v>
      </c>
      <c r="Z38" s="33">
        <f t="shared" si="9"/>
        <v>6</v>
      </c>
      <c r="AA38" s="33">
        <f t="shared" si="10"/>
        <v>14</v>
      </c>
      <c r="AB38" s="33">
        <f t="shared" ref="AB38:AC38" si="118">COUNTIF($C38:$W38,N38)</f>
        <v>6</v>
      </c>
      <c r="AC38" s="33">
        <f t="shared" si="118"/>
        <v>6</v>
      </c>
      <c r="AD38" s="33">
        <f t="shared" si="12"/>
        <v>14</v>
      </c>
      <c r="AE38" s="33">
        <f t="shared" si="13"/>
        <v>14</v>
      </c>
      <c r="AF38" s="33">
        <f t="shared" si="14"/>
        <v>14</v>
      </c>
      <c r="AG38" s="33">
        <f t="shared" si="15"/>
        <v>14</v>
      </c>
      <c r="AH38" s="33">
        <f t="shared" si="16"/>
        <v>14</v>
      </c>
      <c r="AI38" s="33">
        <f t="shared" si="17"/>
        <v>14</v>
      </c>
      <c r="AJ38" s="33">
        <f t="shared" si="18"/>
        <v>6</v>
      </c>
      <c r="AK38" s="33">
        <f t="shared" si="19"/>
        <v>14</v>
      </c>
      <c r="AL38" s="33">
        <f t="shared" si="20"/>
        <v>6</v>
      </c>
      <c r="AM38" s="33">
        <f t="shared" si="21"/>
        <v>14</v>
      </c>
      <c r="AN38" s="33">
        <f t="shared" si="22"/>
        <v>14</v>
      </c>
      <c r="AO38" s="33">
        <f t="shared" ref="AO38:AR38" si="119">COUNTIF($C38:$W38,T38)</f>
        <v>14</v>
      </c>
      <c r="AP38" s="33">
        <f t="shared" si="119"/>
        <v>14</v>
      </c>
      <c r="AQ38" s="33">
        <f t="shared" si="119"/>
        <v>1</v>
      </c>
      <c r="AR38" s="33">
        <f t="shared" si="119"/>
        <v>14</v>
      </c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</row>
    <row r="39" ht="10.5" customHeight="1">
      <c r="A39" s="30" t="s">
        <v>53</v>
      </c>
      <c r="B39" s="31" t="s">
        <v>42</v>
      </c>
      <c r="C39" s="32" t="str">
        <f>VLOOKUP($C$2,Form_PrimeiraFase!$C$2:$FB$69,33,FALSE)</f>
        <v>Juventus</v>
      </c>
      <c r="D39" s="32" t="str">
        <f>VLOOKUP($D$2,Form_PrimeiraFase!$C$2:$FB$69,33,FALSE)</f>
        <v>Empate</v>
      </c>
      <c r="E39" s="32" t="str">
        <f>VLOOKUP($E$2,Form_PrimeiraFase!$C$2:$FB$69,33,FALSE)</f>
        <v>Juventus</v>
      </c>
      <c r="F39" s="32" t="str">
        <f>VLOOKUP($F$2,Form_PrimeiraFase!$C$2:$FB$69,33,FALSE)</f>
        <v>Juventus</v>
      </c>
      <c r="G39" s="32" t="str">
        <f>VLOOKUP($G$2,Form_PrimeiraFase!$C$2:$FB$69,33,FALSE)</f>
        <v>Villarreal</v>
      </c>
      <c r="H39" s="32" t="str">
        <f>VLOOKUP($H$2,Form_PrimeiraFase!$C$2:$FB$69,33,FALSE)</f>
        <v>Villarreal</v>
      </c>
      <c r="I39" s="32" t="str">
        <f>VLOOKUP($I$2,Form_PrimeiraFase!$C$2:$FB$69,33,FALSE)</f>
        <v>Juventus</v>
      </c>
      <c r="J39" s="32" t="str">
        <f>VLOOKUP($J$2,Form_PrimeiraFase!$C$2:$FB$69,33,FALSE)</f>
        <v>Juventus</v>
      </c>
      <c r="K39" s="32" t="str">
        <f>VLOOKUP($K$2,Form_PrimeiraFase!$C$2:$FB$69,33,FALSE)</f>
        <v>Villarreal</v>
      </c>
      <c r="L39" s="32" t="str">
        <f>VLOOKUP($L$2,Form_PrimeiraFase!$C$2:$FB$69,33,FALSE)</f>
        <v>Empate</v>
      </c>
      <c r="M39" s="32" t="str">
        <f>VLOOKUP($M$2,Form_PrimeiraFase!$C$2:$FB$69,33,FALSE)</f>
        <v>Empate</v>
      </c>
      <c r="N39" s="32" t="str">
        <f>VLOOKUP($N$2,Form_PrimeiraFase!$C$2:$FB$69,33,FALSE)</f>
        <v>Juventus</v>
      </c>
      <c r="O39" s="32" t="str">
        <f>VLOOKUP($O$2,Form_PrimeiraFase!$C$2:$FB$69,33,FALSE)</f>
        <v>Juventus</v>
      </c>
      <c r="P39" s="32" t="str">
        <f>VLOOKUP($P$2,Form_PrimeiraFase!$C$2:$FB$69,33,FALSE)</f>
        <v>Villarreal</v>
      </c>
      <c r="Q39" s="32" t="str">
        <f>VLOOKUP($Q$2,Form_PrimeiraFase!$C$2:$FB$69,33,FALSE)</f>
        <v>Villarreal</v>
      </c>
      <c r="R39" s="32" t="str">
        <f>VLOOKUP($R$2,Form_PrimeiraFase!$C$2:$FB$69,33,FALSE)</f>
        <v>Villarreal</v>
      </c>
      <c r="S39" s="32" t="str">
        <f>VLOOKUP($S$2,Form_PrimeiraFase!$C$2:$FB$69,33,FALSE)</f>
        <v>Juventus</v>
      </c>
      <c r="T39" s="32" t="str">
        <f>VLOOKUP($T$2,Form_PrimeiraFase!$C$2:$FB$69,33,FALSE)</f>
        <v>Villarreal</v>
      </c>
      <c r="U39" s="32" t="str">
        <f>VLOOKUP($U$2,Form_PrimeiraFase!$C$2:$FB$69,33,FALSE)</f>
        <v>Juventus</v>
      </c>
      <c r="V39" s="32" t="str">
        <f>VLOOKUP($V$2,Form_PrimeiraFase!$C$2:$FB$69,33,FALSE)</f>
        <v>Juventus</v>
      </c>
      <c r="W39" s="32" t="str">
        <f>VLOOKUP($W$2,Form_PrimeiraFase!$C$2:$FB$69,33,FALSE)</f>
        <v>Juventus</v>
      </c>
      <c r="X39" s="33">
        <f t="shared" ref="X39:Y39" si="120">COUNTIF($C39:$W39,J39)</f>
        <v>11</v>
      </c>
      <c r="Y39" s="33">
        <f t="shared" si="120"/>
        <v>7</v>
      </c>
      <c r="Z39" s="33">
        <f t="shared" si="9"/>
        <v>7</v>
      </c>
      <c r="AA39" s="33">
        <f t="shared" si="10"/>
        <v>3</v>
      </c>
      <c r="AB39" s="33">
        <f t="shared" ref="AB39:AC39" si="121">COUNTIF($C39:$W39,N39)</f>
        <v>11</v>
      </c>
      <c r="AC39" s="33">
        <f t="shared" si="121"/>
        <v>11</v>
      </c>
      <c r="AD39" s="33">
        <f t="shared" si="12"/>
        <v>7</v>
      </c>
      <c r="AE39" s="33">
        <f t="shared" si="13"/>
        <v>11</v>
      </c>
      <c r="AF39" s="33">
        <f t="shared" si="14"/>
        <v>11</v>
      </c>
      <c r="AG39" s="33">
        <f t="shared" si="15"/>
        <v>11</v>
      </c>
      <c r="AH39" s="33">
        <f t="shared" si="16"/>
        <v>11</v>
      </c>
      <c r="AI39" s="33">
        <f t="shared" si="17"/>
        <v>7</v>
      </c>
      <c r="AJ39" s="33">
        <f t="shared" si="18"/>
        <v>3</v>
      </c>
      <c r="AK39" s="33">
        <f t="shared" si="19"/>
        <v>11</v>
      </c>
      <c r="AL39" s="33">
        <f t="shared" si="20"/>
        <v>7</v>
      </c>
      <c r="AM39" s="33">
        <f t="shared" si="21"/>
        <v>3</v>
      </c>
      <c r="AN39" s="33">
        <f t="shared" si="22"/>
        <v>7</v>
      </c>
      <c r="AO39" s="33">
        <f t="shared" ref="AO39:AR39" si="122">COUNTIF($C39:$W39,T39)</f>
        <v>7</v>
      </c>
      <c r="AP39" s="33">
        <f t="shared" si="122"/>
        <v>11</v>
      </c>
      <c r="AQ39" s="33">
        <f t="shared" si="122"/>
        <v>11</v>
      </c>
      <c r="AR39" s="33">
        <f t="shared" si="122"/>
        <v>11</v>
      </c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</row>
    <row r="40" ht="10.5" customHeight="1">
      <c r="A40" s="30" t="s">
        <v>53</v>
      </c>
      <c r="B40" s="31" t="s">
        <v>60</v>
      </c>
      <c r="C40" s="32" t="str">
        <f>VLOOKUP($C$2,Form_PrimeiraFase!$C$2:$FB$69,34,FALSE)</f>
        <v>Napoli</v>
      </c>
      <c r="D40" s="32" t="str">
        <f>VLOOKUP($D$2,Form_PrimeiraFase!$C$2:$FB$69,34,FALSE)</f>
        <v>Napoli</v>
      </c>
      <c r="E40" s="32" t="str">
        <f>VLOOKUP($E$2,Form_PrimeiraFase!$C$2:$FB$69,34,FALSE)</f>
        <v>Napoli</v>
      </c>
      <c r="F40" s="32" t="str">
        <f>VLOOKUP($F$2,Form_PrimeiraFase!$C$2:$FB$69,34,FALSE)</f>
        <v>Sporting</v>
      </c>
      <c r="G40" s="32" t="str">
        <f>VLOOKUP($G$2,Form_PrimeiraFase!$C$2:$FB$69,34,FALSE)</f>
        <v>Napoli</v>
      </c>
      <c r="H40" s="32" t="str">
        <f>VLOOKUP($H$2,Form_PrimeiraFase!$C$2:$FB$69,34,FALSE)</f>
        <v>Napoli</v>
      </c>
      <c r="I40" s="32" t="str">
        <f>VLOOKUP($I$2,Form_PrimeiraFase!$C$2:$FB$69,34,FALSE)</f>
        <v>Napoli</v>
      </c>
      <c r="J40" s="32" t="str">
        <f>VLOOKUP($J$2,Form_PrimeiraFase!$C$2:$FB$69,34,FALSE)</f>
        <v>Napoli</v>
      </c>
      <c r="K40" s="32" t="str">
        <f>VLOOKUP($K$2,Form_PrimeiraFase!$C$2:$FB$69,34,FALSE)</f>
        <v>Napoli</v>
      </c>
      <c r="L40" s="32" t="str">
        <f>VLOOKUP($L$2,Form_PrimeiraFase!$C$2:$FB$69,34,FALSE)</f>
        <v>Napoli</v>
      </c>
      <c r="M40" s="32" t="str">
        <f>VLOOKUP($M$2,Form_PrimeiraFase!$C$2:$FB$69,34,FALSE)</f>
        <v>Empate</v>
      </c>
      <c r="N40" s="32" t="str">
        <f>VLOOKUP($N$2,Form_PrimeiraFase!$C$2:$FB$69,34,FALSE)</f>
        <v>Napoli</v>
      </c>
      <c r="O40" s="32" t="str">
        <f>VLOOKUP($O$2,Form_PrimeiraFase!$C$2:$FB$69,34,FALSE)</f>
        <v>Napoli</v>
      </c>
      <c r="P40" s="32" t="str">
        <f>VLOOKUP($P$2,Form_PrimeiraFase!$C$2:$FB$69,34,FALSE)</f>
        <v>Napoli</v>
      </c>
      <c r="Q40" s="32" t="str">
        <f>VLOOKUP($Q$2,Form_PrimeiraFase!$C$2:$FB$69,34,FALSE)</f>
        <v>Napoli</v>
      </c>
      <c r="R40" s="32" t="str">
        <f>VLOOKUP($R$2,Form_PrimeiraFase!$C$2:$FB$69,34,FALSE)</f>
        <v>Napoli</v>
      </c>
      <c r="S40" s="32" t="str">
        <f>VLOOKUP($S$2,Form_PrimeiraFase!$C$2:$FB$69,34,FALSE)</f>
        <v>Napoli</v>
      </c>
      <c r="T40" s="32" t="str">
        <f>VLOOKUP($T$2,Form_PrimeiraFase!$C$2:$FB$69,34,FALSE)</f>
        <v>Napoli</v>
      </c>
      <c r="U40" s="32" t="str">
        <f>VLOOKUP($U$2,Form_PrimeiraFase!$C$2:$FB$69,34,FALSE)</f>
        <v>Napoli</v>
      </c>
      <c r="V40" s="32" t="str">
        <f>VLOOKUP($V$2,Form_PrimeiraFase!$C$2:$FB$69,34,FALSE)</f>
        <v>Napoli</v>
      </c>
      <c r="W40" s="32" t="str">
        <f>VLOOKUP($W$2,Form_PrimeiraFase!$C$2:$FB$69,34,FALSE)</f>
        <v>Napoli</v>
      </c>
      <c r="X40" s="33">
        <f t="shared" ref="X40:Y40" si="123">COUNTIF($C40:$W40,J40)</f>
        <v>19</v>
      </c>
      <c r="Y40" s="33">
        <f t="shared" si="123"/>
        <v>19</v>
      </c>
      <c r="Z40" s="33">
        <f t="shared" si="9"/>
        <v>19</v>
      </c>
      <c r="AA40" s="33">
        <f t="shared" si="10"/>
        <v>19</v>
      </c>
      <c r="AB40" s="33">
        <f t="shared" ref="AB40:AC40" si="124">COUNTIF($C40:$W40,N40)</f>
        <v>19</v>
      </c>
      <c r="AC40" s="33">
        <f t="shared" si="124"/>
        <v>19</v>
      </c>
      <c r="AD40" s="33">
        <f t="shared" si="12"/>
        <v>19</v>
      </c>
      <c r="AE40" s="33">
        <f t="shared" si="13"/>
        <v>1</v>
      </c>
      <c r="AF40" s="33">
        <f t="shared" si="14"/>
        <v>19</v>
      </c>
      <c r="AG40" s="33">
        <f t="shared" si="15"/>
        <v>19</v>
      </c>
      <c r="AH40" s="33">
        <f t="shared" si="16"/>
        <v>19</v>
      </c>
      <c r="AI40" s="33">
        <f t="shared" si="17"/>
        <v>19</v>
      </c>
      <c r="AJ40" s="33">
        <f t="shared" si="18"/>
        <v>1</v>
      </c>
      <c r="AK40" s="33">
        <f t="shared" si="19"/>
        <v>19</v>
      </c>
      <c r="AL40" s="33">
        <f t="shared" si="20"/>
        <v>19</v>
      </c>
      <c r="AM40" s="33">
        <f t="shared" si="21"/>
        <v>19</v>
      </c>
      <c r="AN40" s="33">
        <f t="shared" si="22"/>
        <v>19</v>
      </c>
      <c r="AO40" s="33">
        <f t="shared" ref="AO40:AR40" si="125">COUNTIF($C40:$W40,T40)</f>
        <v>19</v>
      </c>
      <c r="AP40" s="33">
        <f t="shared" si="125"/>
        <v>19</v>
      </c>
      <c r="AQ40" s="33">
        <f t="shared" si="125"/>
        <v>19</v>
      </c>
      <c r="AR40" s="33">
        <f t="shared" si="125"/>
        <v>19</v>
      </c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ht="10.5" customHeight="1">
      <c r="A41" s="30" t="s">
        <v>53</v>
      </c>
      <c r="B41" s="31" t="s">
        <v>42</v>
      </c>
      <c r="C41" s="32" t="str">
        <f>VLOOKUP($C$2,Form_PrimeiraFase!$C$2:$FB$69,35,FALSE)</f>
        <v>Manchester City</v>
      </c>
      <c r="D41" s="32" t="str">
        <f>VLOOKUP($D$2,Form_PrimeiraFase!$C$2:$FB$69,35,FALSE)</f>
        <v>Manchester City</v>
      </c>
      <c r="E41" s="32" t="str">
        <f>VLOOKUP($E$2,Form_PrimeiraFase!$C$2:$FB$69,35,FALSE)</f>
        <v>Manchester City</v>
      </c>
      <c r="F41" s="32" t="str">
        <f>VLOOKUP($F$2,Form_PrimeiraFase!$C$2:$FB$69,35,FALSE)</f>
        <v>Manchester City</v>
      </c>
      <c r="G41" s="32" t="str">
        <f>VLOOKUP($G$2,Form_PrimeiraFase!$C$2:$FB$69,35,FALSE)</f>
        <v>Manchester City</v>
      </c>
      <c r="H41" s="32" t="str">
        <f>VLOOKUP($H$2,Form_PrimeiraFase!$C$2:$FB$69,35,FALSE)</f>
        <v>Manchester City</v>
      </c>
      <c r="I41" s="32" t="str">
        <f>VLOOKUP($I$2,Form_PrimeiraFase!$C$2:$FB$69,35,FALSE)</f>
        <v>Manchester City</v>
      </c>
      <c r="J41" s="32" t="str">
        <f>VLOOKUP($J$2,Form_PrimeiraFase!$C$2:$FB$69,35,FALSE)</f>
        <v>Manchester City</v>
      </c>
      <c r="K41" s="32" t="str">
        <f>VLOOKUP($K$2,Form_PrimeiraFase!$C$2:$FB$69,35,FALSE)</f>
        <v>Manchester City</v>
      </c>
      <c r="L41" s="32" t="str">
        <f>VLOOKUP($L$2,Form_PrimeiraFase!$C$2:$FB$69,35,FALSE)</f>
        <v>Manchester City</v>
      </c>
      <c r="M41" s="32" t="str">
        <f>VLOOKUP($M$2,Form_PrimeiraFase!$C$2:$FB$69,35,FALSE)</f>
        <v>Manchester City</v>
      </c>
      <c r="N41" s="32" t="str">
        <f>VLOOKUP($N$2,Form_PrimeiraFase!$C$2:$FB$69,35,FALSE)</f>
        <v>Manchester City</v>
      </c>
      <c r="O41" s="32" t="str">
        <f>VLOOKUP($O$2,Form_PrimeiraFase!$C$2:$FB$69,35,FALSE)</f>
        <v>Manchester City</v>
      </c>
      <c r="P41" s="32" t="str">
        <f>VLOOKUP($P$2,Form_PrimeiraFase!$C$2:$FB$69,35,FALSE)</f>
        <v>Manchester City</v>
      </c>
      <c r="Q41" s="32" t="str">
        <f>VLOOKUP($Q$2,Form_PrimeiraFase!$C$2:$FB$69,35,FALSE)</f>
        <v>Manchester City</v>
      </c>
      <c r="R41" s="32" t="str">
        <f>VLOOKUP($R$2,Form_PrimeiraFase!$C$2:$FB$69,35,FALSE)</f>
        <v>Empate</v>
      </c>
      <c r="S41" s="32" t="str">
        <f>VLOOKUP($S$2,Form_PrimeiraFase!$C$2:$FB$69,35,FALSE)</f>
        <v>Manchester City</v>
      </c>
      <c r="T41" s="32" t="str">
        <f>VLOOKUP($T$2,Form_PrimeiraFase!$C$2:$FB$69,35,FALSE)</f>
        <v>Monaco</v>
      </c>
      <c r="U41" s="32" t="str">
        <f>VLOOKUP($U$2,Form_PrimeiraFase!$C$2:$FB$69,35,FALSE)</f>
        <v>Empate</v>
      </c>
      <c r="V41" s="32" t="str">
        <f>VLOOKUP($V$2,Form_PrimeiraFase!$C$2:$FB$69,35,FALSE)</f>
        <v>Manchester City</v>
      </c>
      <c r="W41" s="32" t="str">
        <f>VLOOKUP($W$2,Form_PrimeiraFase!$C$2:$FB$69,35,FALSE)</f>
        <v>Manchester City</v>
      </c>
      <c r="X41" s="33">
        <f t="shared" ref="X41:Y41" si="126">COUNTIF($C41:$W41,J41)</f>
        <v>18</v>
      </c>
      <c r="Y41" s="33">
        <f t="shared" si="126"/>
        <v>18</v>
      </c>
      <c r="Z41" s="33">
        <f t="shared" si="9"/>
        <v>2</v>
      </c>
      <c r="AA41" s="33">
        <f t="shared" si="10"/>
        <v>18</v>
      </c>
      <c r="AB41" s="33">
        <f t="shared" ref="AB41:AC41" si="127">COUNTIF($C41:$W41,N41)</f>
        <v>18</v>
      </c>
      <c r="AC41" s="33">
        <f t="shared" si="127"/>
        <v>18</v>
      </c>
      <c r="AD41" s="33">
        <f t="shared" si="12"/>
        <v>18</v>
      </c>
      <c r="AE41" s="33">
        <f t="shared" si="13"/>
        <v>18</v>
      </c>
      <c r="AF41" s="33">
        <f t="shared" si="14"/>
        <v>18</v>
      </c>
      <c r="AG41" s="33">
        <f t="shared" si="15"/>
        <v>18</v>
      </c>
      <c r="AH41" s="33">
        <f t="shared" si="16"/>
        <v>18</v>
      </c>
      <c r="AI41" s="33">
        <f t="shared" si="17"/>
        <v>18</v>
      </c>
      <c r="AJ41" s="33">
        <f t="shared" si="18"/>
        <v>18</v>
      </c>
      <c r="AK41" s="33">
        <f t="shared" si="19"/>
        <v>18</v>
      </c>
      <c r="AL41" s="33">
        <f t="shared" si="20"/>
        <v>18</v>
      </c>
      <c r="AM41" s="33">
        <f t="shared" si="21"/>
        <v>18</v>
      </c>
      <c r="AN41" s="33">
        <f t="shared" si="22"/>
        <v>18</v>
      </c>
      <c r="AO41" s="33">
        <f t="shared" ref="AO41:AR41" si="128">COUNTIF($C41:$W41,T41)</f>
        <v>1</v>
      </c>
      <c r="AP41" s="33">
        <f t="shared" si="128"/>
        <v>2</v>
      </c>
      <c r="AQ41" s="33">
        <f t="shared" si="128"/>
        <v>18</v>
      </c>
      <c r="AR41" s="33">
        <f t="shared" si="128"/>
        <v>18</v>
      </c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</row>
    <row r="42" ht="10.5" customHeight="1">
      <c r="A42" s="30" t="s">
        <v>53</v>
      </c>
      <c r="B42" s="31" t="s">
        <v>61</v>
      </c>
      <c r="C42" s="32" t="str">
        <f>VLOOKUP($C$2,Form_PrimeiraFase!$C$2:$FB$69,36,FALSE)</f>
        <v>Borussia Dortmund</v>
      </c>
      <c r="D42" s="32" t="str">
        <f>VLOOKUP($D$2,Form_PrimeiraFase!$C$2:$FB$69,36,FALSE)</f>
        <v>Borussia Dortmund</v>
      </c>
      <c r="E42" s="32" t="str">
        <f>VLOOKUP($E$2,Form_PrimeiraFase!$C$2:$FB$69,36,FALSE)</f>
        <v>Borussia Dortmund</v>
      </c>
      <c r="F42" s="32" t="str">
        <f>VLOOKUP($F$2,Form_PrimeiraFase!$C$2:$FB$69,36,FALSE)</f>
        <v>Borussia Dortmund</v>
      </c>
      <c r="G42" s="32" t="str">
        <f>VLOOKUP($G$2,Form_PrimeiraFase!$C$2:$FB$69,36,FALSE)</f>
        <v>Borussia Dortmund</v>
      </c>
      <c r="H42" s="32" t="str">
        <f>VLOOKUP($H$2,Form_PrimeiraFase!$C$2:$FB$69,36,FALSE)</f>
        <v>Borussia Dortmund</v>
      </c>
      <c r="I42" s="32" t="str">
        <f>VLOOKUP($I$2,Form_PrimeiraFase!$C$2:$FB$69,36,FALSE)</f>
        <v>Borussia Dortmund</v>
      </c>
      <c r="J42" s="32" t="str">
        <f>VLOOKUP($J$2,Form_PrimeiraFase!$C$2:$FB$69,36,FALSE)</f>
        <v>Borussia Dortmund</v>
      </c>
      <c r="K42" s="32" t="str">
        <f>VLOOKUP($K$2,Form_PrimeiraFase!$C$2:$FB$69,36,FALSE)</f>
        <v>Borussia Dortmund</v>
      </c>
      <c r="L42" s="32" t="str">
        <f>VLOOKUP($L$2,Form_PrimeiraFase!$C$2:$FB$69,36,FALSE)</f>
        <v>Borussia Dortmund</v>
      </c>
      <c r="M42" s="32" t="str">
        <f>VLOOKUP($M$2,Form_PrimeiraFase!$C$2:$FB$69,36,FALSE)</f>
        <v>Empate</v>
      </c>
      <c r="N42" s="32" t="str">
        <f>VLOOKUP($N$2,Form_PrimeiraFase!$C$2:$FB$69,36,FALSE)</f>
        <v>Borussia Dortmund</v>
      </c>
      <c r="O42" s="32" t="str">
        <f>VLOOKUP($O$2,Form_PrimeiraFase!$C$2:$FB$69,36,FALSE)</f>
        <v>Borussia Dortmund</v>
      </c>
      <c r="P42" s="32" t="str">
        <f>VLOOKUP($P$2,Form_PrimeiraFase!$C$2:$FB$69,36,FALSE)</f>
        <v>Borussia Dortmund</v>
      </c>
      <c r="Q42" s="32" t="str">
        <f>VLOOKUP($Q$2,Form_PrimeiraFase!$C$2:$FB$69,36,FALSE)</f>
        <v>Empate</v>
      </c>
      <c r="R42" s="32" t="str">
        <f>VLOOKUP($R$2,Form_PrimeiraFase!$C$2:$FB$69,36,FALSE)</f>
        <v>Borussia Dortmund</v>
      </c>
      <c r="S42" s="32" t="str">
        <f>VLOOKUP($S$2,Form_PrimeiraFase!$C$2:$FB$69,36,FALSE)</f>
        <v>Borussia Dortmund</v>
      </c>
      <c r="T42" s="32" t="str">
        <f>VLOOKUP($T$2,Form_PrimeiraFase!$C$2:$FB$69,36,FALSE)</f>
        <v>Borussia Dortmund</v>
      </c>
      <c r="U42" s="32" t="str">
        <f>VLOOKUP($U$2,Form_PrimeiraFase!$C$2:$FB$69,36,FALSE)</f>
        <v>Borussia Dortmund</v>
      </c>
      <c r="V42" s="32" t="str">
        <f>VLOOKUP($V$2,Form_PrimeiraFase!$C$2:$FB$69,36,FALSE)</f>
        <v>Borussia Dortmund</v>
      </c>
      <c r="W42" s="32" t="str">
        <f>VLOOKUP($W$2,Form_PrimeiraFase!$C$2:$FB$69,36,FALSE)</f>
        <v>Borussia Dortmund</v>
      </c>
      <c r="X42" s="33">
        <f t="shared" ref="X42:Y42" si="129">COUNTIF($C42:$W42,J42)</f>
        <v>19</v>
      </c>
      <c r="Y42" s="33">
        <f t="shared" si="129"/>
        <v>19</v>
      </c>
      <c r="Z42" s="33">
        <f t="shared" si="9"/>
        <v>19</v>
      </c>
      <c r="AA42" s="33">
        <f t="shared" si="10"/>
        <v>19</v>
      </c>
      <c r="AB42" s="33">
        <f t="shared" ref="AB42:AC42" si="130">COUNTIF($C42:$W42,N42)</f>
        <v>19</v>
      </c>
      <c r="AC42" s="33">
        <f t="shared" si="130"/>
        <v>19</v>
      </c>
      <c r="AD42" s="33">
        <f t="shared" si="12"/>
        <v>19</v>
      </c>
      <c r="AE42" s="33">
        <f t="shared" si="13"/>
        <v>19</v>
      </c>
      <c r="AF42" s="33">
        <f t="shared" si="14"/>
        <v>19</v>
      </c>
      <c r="AG42" s="33">
        <f t="shared" si="15"/>
        <v>19</v>
      </c>
      <c r="AH42" s="33">
        <f t="shared" si="16"/>
        <v>19</v>
      </c>
      <c r="AI42" s="33">
        <f t="shared" si="17"/>
        <v>19</v>
      </c>
      <c r="AJ42" s="33">
        <f t="shared" si="18"/>
        <v>2</v>
      </c>
      <c r="AK42" s="33">
        <f t="shared" si="19"/>
        <v>19</v>
      </c>
      <c r="AL42" s="33">
        <f t="shared" si="20"/>
        <v>2</v>
      </c>
      <c r="AM42" s="33">
        <f t="shared" si="21"/>
        <v>19</v>
      </c>
      <c r="AN42" s="33">
        <f t="shared" si="22"/>
        <v>19</v>
      </c>
      <c r="AO42" s="33">
        <f t="shared" ref="AO42:AR42" si="131">COUNTIF($C42:$W42,T42)</f>
        <v>19</v>
      </c>
      <c r="AP42" s="33">
        <f t="shared" si="131"/>
        <v>19</v>
      </c>
      <c r="AQ42" s="33">
        <f t="shared" si="131"/>
        <v>19</v>
      </c>
      <c r="AR42" s="33">
        <f t="shared" si="131"/>
        <v>19</v>
      </c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</row>
    <row r="43" ht="10.5" customHeight="1">
      <c r="A43" s="30" t="s">
        <v>53</v>
      </c>
      <c r="B43" s="32" t="s">
        <v>44</v>
      </c>
      <c r="C43" s="32" t="str">
        <f>VLOOKUP($C$2,Form_PrimeiraFase!$C$2:$FB$69,37,FALSE)</f>
        <v>Barcelona</v>
      </c>
      <c r="D43" s="32" t="str">
        <f>VLOOKUP($D$2,Form_PrimeiraFase!$C$2:$FB$69,37,FALSE)</f>
        <v>Barcelona</v>
      </c>
      <c r="E43" s="32" t="str">
        <f>VLOOKUP($E$2,Form_PrimeiraFase!$C$2:$FB$69,37,FALSE)</f>
        <v>Barcelona</v>
      </c>
      <c r="F43" s="32" t="str">
        <f>VLOOKUP($F$2,Form_PrimeiraFase!$C$2:$FB$69,37,FALSE)</f>
        <v>Barcelona</v>
      </c>
      <c r="G43" s="32" t="str">
        <f>VLOOKUP($G$2,Form_PrimeiraFase!$C$2:$FB$69,37,FALSE)</f>
        <v>Barcelona</v>
      </c>
      <c r="H43" s="32" t="str">
        <f>VLOOKUP($H$2,Form_PrimeiraFase!$C$2:$FB$69,37,FALSE)</f>
        <v>Barcelona</v>
      </c>
      <c r="I43" s="32" t="str">
        <f>VLOOKUP($I$2,Form_PrimeiraFase!$C$2:$FB$69,37,FALSE)</f>
        <v>Barcelona</v>
      </c>
      <c r="J43" s="32" t="str">
        <f>VLOOKUP($J$2,Form_PrimeiraFase!$C$2:$FB$69,37,FALSE)</f>
        <v>Barcelona</v>
      </c>
      <c r="K43" s="32" t="str">
        <f>VLOOKUP($K$2,Form_PrimeiraFase!$C$2:$FB$69,37,FALSE)</f>
        <v>Barcelona</v>
      </c>
      <c r="L43" s="32" t="str">
        <f>VLOOKUP($L$2,Form_PrimeiraFase!$C$2:$FB$69,37,FALSE)</f>
        <v>Barcelona</v>
      </c>
      <c r="M43" s="32" t="str">
        <f>VLOOKUP($M$2,Form_PrimeiraFase!$C$2:$FB$69,37,FALSE)</f>
        <v>Barcelona</v>
      </c>
      <c r="N43" s="32" t="str">
        <f>VLOOKUP($N$2,Form_PrimeiraFase!$C$2:$FB$69,37,FALSE)</f>
        <v>Barcelona</v>
      </c>
      <c r="O43" s="32" t="str">
        <f>VLOOKUP($O$2,Form_PrimeiraFase!$C$2:$FB$69,37,FALSE)</f>
        <v>Empate</v>
      </c>
      <c r="P43" s="32" t="str">
        <f>VLOOKUP($P$2,Form_PrimeiraFase!$C$2:$FB$69,37,FALSE)</f>
        <v>Barcelona</v>
      </c>
      <c r="Q43" s="32" t="str">
        <f>VLOOKUP($Q$2,Form_PrimeiraFase!$C$2:$FB$69,37,FALSE)</f>
        <v>Barcelona</v>
      </c>
      <c r="R43" s="32" t="str">
        <f>VLOOKUP($R$2,Form_PrimeiraFase!$C$2:$FB$69,37,FALSE)</f>
        <v>Barcelona</v>
      </c>
      <c r="S43" s="32" t="str">
        <f>VLOOKUP($S$2,Form_PrimeiraFase!$C$2:$FB$69,37,FALSE)</f>
        <v>Barcelona</v>
      </c>
      <c r="T43" s="32" t="str">
        <f>VLOOKUP($T$2,Form_PrimeiraFase!$C$2:$FB$69,37,FALSE)</f>
        <v>Barcelona</v>
      </c>
      <c r="U43" s="32" t="str">
        <f>VLOOKUP($U$2,Form_PrimeiraFase!$C$2:$FB$69,37,FALSE)</f>
        <v>Barcelona</v>
      </c>
      <c r="V43" s="32" t="str">
        <f>VLOOKUP($V$2,Form_PrimeiraFase!$C$2:$FB$69,37,FALSE)</f>
        <v>Barcelona</v>
      </c>
      <c r="W43" s="32" t="str">
        <f>VLOOKUP($W$2,Form_PrimeiraFase!$C$2:$FB$69,37,FALSE)</f>
        <v>Barcelona</v>
      </c>
      <c r="X43" s="33">
        <f t="shared" ref="X43:Y43" si="132">COUNTIF($C43:$W43,J43)</f>
        <v>20</v>
      </c>
      <c r="Y43" s="33">
        <f t="shared" si="132"/>
        <v>20</v>
      </c>
      <c r="Z43" s="33">
        <f t="shared" si="9"/>
        <v>20</v>
      </c>
      <c r="AA43" s="33">
        <f t="shared" si="10"/>
        <v>20</v>
      </c>
      <c r="AB43" s="33">
        <f t="shared" ref="AB43:AC43" si="133">COUNTIF($C43:$W43,N43)</f>
        <v>20</v>
      </c>
      <c r="AC43" s="33">
        <f t="shared" si="133"/>
        <v>1</v>
      </c>
      <c r="AD43" s="33">
        <f t="shared" si="12"/>
        <v>20</v>
      </c>
      <c r="AE43" s="33">
        <f t="shared" si="13"/>
        <v>20</v>
      </c>
      <c r="AF43" s="33">
        <f t="shared" si="14"/>
        <v>20</v>
      </c>
      <c r="AG43" s="33">
        <f t="shared" si="15"/>
        <v>20</v>
      </c>
      <c r="AH43" s="33">
        <f t="shared" si="16"/>
        <v>20</v>
      </c>
      <c r="AI43" s="33">
        <f t="shared" si="17"/>
        <v>20</v>
      </c>
      <c r="AJ43" s="33">
        <f t="shared" si="18"/>
        <v>20</v>
      </c>
      <c r="AK43" s="33">
        <f t="shared" si="19"/>
        <v>20</v>
      </c>
      <c r="AL43" s="33">
        <f t="shared" si="20"/>
        <v>20</v>
      </c>
      <c r="AM43" s="33">
        <f t="shared" si="21"/>
        <v>20</v>
      </c>
      <c r="AN43" s="33">
        <f t="shared" si="22"/>
        <v>20</v>
      </c>
      <c r="AO43" s="33">
        <f t="shared" ref="AO43:AR43" si="134">COUNTIF($C43:$W43,T43)</f>
        <v>20</v>
      </c>
      <c r="AP43" s="33">
        <f t="shared" si="134"/>
        <v>20</v>
      </c>
      <c r="AQ43" s="33">
        <f t="shared" si="134"/>
        <v>20</v>
      </c>
      <c r="AR43" s="33">
        <f t="shared" si="134"/>
        <v>20</v>
      </c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</row>
    <row r="44" ht="10.5" customHeight="1">
      <c r="A44" s="30" t="s">
        <v>62</v>
      </c>
      <c r="B44" s="31" t="s">
        <v>52</v>
      </c>
      <c r="C44" s="32" t="str">
        <f>VLOOKUP($C$2,Form_PrimeiraFase!$C$2:$FB$69,38,FALSE)</f>
        <v>Barcelona</v>
      </c>
      <c r="D44" s="32" t="str">
        <f>VLOOKUP($D$2,Form_PrimeiraFase!$C$2:$FB$69,38,FALSE)</f>
        <v>Barcelona</v>
      </c>
      <c r="E44" s="32" t="str">
        <f>VLOOKUP($E$2,Form_PrimeiraFase!$C$2:$FB$69,38,FALSE)</f>
        <v>Barcelona</v>
      </c>
      <c r="F44" s="32" t="str">
        <f>VLOOKUP($F$2,Form_PrimeiraFase!$C$2:$FB$69,38,FALSE)</f>
        <v>Barcelona</v>
      </c>
      <c r="G44" s="32" t="str">
        <f>VLOOKUP($G$2,Form_PrimeiraFase!$C$2:$FB$69,38,FALSE)</f>
        <v>Barcelona</v>
      </c>
      <c r="H44" s="32" t="str">
        <f>VLOOKUP($H$2,Form_PrimeiraFase!$C$2:$FB$69,38,FALSE)</f>
        <v>Barcelona</v>
      </c>
      <c r="I44" s="32" t="str">
        <f>VLOOKUP($I$2,Form_PrimeiraFase!$C$2:$FB$69,38,FALSE)</f>
        <v>Barcelona</v>
      </c>
      <c r="J44" s="32" t="str">
        <f>VLOOKUP($J$2,Form_PrimeiraFase!$C$2:$FB$69,38,FALSE)</f>
        <v>Barcelona</v>
      </c>
      <c r="K44" s="32" t="str">
        <f>VLOOKUP($K$2,Form_PrimeiraFase!$C$2:$FB$69,38,FALSE)</f>
        <v>Barcelona</v>
      </c>
      <c r="L44" s="32" t="str">
        <f>VLOOKUP($L$2,Form_PrimeiraFase!$C$2:$FB$69,38,FALSE)</f>
        <v>Barcelona</v>
      </c>
      <c r="M44" s="32" t="str">
        <f>VLOOKUP($M$2,Form_PrimeiraFase!$C$2:$FB$69,38,FALSE)</f>
        <v>Barcelona</v>
      </c>
      <c r="N44" s="32" t="str">
        <f>VLOOKUP($N$2,Form_PrimeiraFase!$C$2:$FB$69,38,FALSE)</f>
        <v>Barcelona</v>
      </c>
      <c r="O44" s="32" t="str">
        <f>VLOOKUP($O$2,Form_PrimeiraFase!$C$2:$FB$69,38,FALSE)</f>
        <v>Barcelona</v>
      </c>
      <c r="P44" s="32" t="str">
        <f>VLOOKUP($P$2,Form_PrimeiraFase!$C$2:$FB$69,38,FALSE)</f>
        <v>Barcelona</v>
      </c>
      <c r="Q44" s="32" t="str">
        <f>VLOOKUP($Q$2,Form_PrimeiraFase!$C$2:$FB$69,38,FALSE)</f>
        <v>Barcelona</v>
      </c>
      <c r="R44" s="32" t="str">
        <f>VLOOKUP($R$2,Form_PrimeiraFase!$C$2:$FB$69,38,FALSE)</f>
        <v>Barcelona</v>
      </c>
      <c r="S44" s="32" t="str">
        <f>VLOOKUP($S$2,Form_PrimeiraFase!$C$2:$FB$69,38,FALSE)</f>
        <v>Barcelona</v>
      </c>
      <c r="T44" s="32" t="str">
        <f>VLOOKUP($T$2,Form_PrimeiraFase!$C$2:$FB$69,38,FALSE)</f>
        <v>Barcelona</v>
      </c>
      <c r="U44" s="32" t="str">
        <f>VLOOKUP($U$2,Form_PrimeiraFase!$C$2:$FB$69,38,FALSE)</f>
        <v>Barcelona</v>
      </c>
      <c r="V44" s="32" t="str">
        <f>VLOOKUP($V$2,Form_PrimeiraFase!$C$2:$FB$69,38,FALSE)</f>
        <v>Barcelona</v>
      </c>
      <c r="W44" s="32" t="str">
        <f>VLOOKUP($W$2,Form_PrimeiraFase!$C$2:$FB$69,38,FALSE)</f>
        <v>Barcelona</v>
      </c>
      <c r="X44" s="33">
        <f t="shared" ref="X44:Y44" si="135">COUNTIF($C44:$W44,J44)</f>
        <v>21</v>
      </c>
      <c r="Y44" s="33">
        <f t="shared" si="135"/>
        <v>21</v>
      </c>
      <c r="Z44" s="33">
        <f t="shared" si="9"/>
        <v>21</v>
      </c>
      <c r="AA44" s="33">
        <f t="shared" si="10"/>
        <v>21</v>
      </c>
      <c r="AB44" s="33">
        <f t="shared" ref="AB44:AC44" si="136">COUNTIF($C44:$W44,N44)</f>
        <v>21</v>
      </c>
      <c r="AC44" s="33">
        <f t="shared" si="136"/>
        <v>21</v>
      </c>
      <c r="AD44" s="33">
        <f t="shared" si="12"/>
        <v>21</v>
      </c>
      <c r="AE44" s="33">
        <f t="shared" si="13"/>
        <v>21</v>
      </c>
      <c r="AF44" s="33">
        <f t="shared" si="14"/>
        <v>21</v>
      </c>
      <c r="AG44" s="33">
        <f t="shared" si="15"/>
        <v>21</v>
      </c>
      <c r="AH44" s="33">
        <f t="shared" si="16"/>
        <v>21</v>
      </c>
      <c r="AI44" s="33">
        <f t="shared" si="17"/>
        <v>21</v>
      </c>
      <c r="AJ44" s="33">
        <f t="shared" si="18"/>
        <v>21</v>
      </c>
      <c r="AK44" s="33">
        <f t="shared" si="19"/>
        <v>21</v>
      </c>
      <c r="AL44" s="33">
        <f t="shared" si="20"/>
        <v>21</v>
      </c>
      <c r="AM44" s="33">
        <f t="shared" si="21"/>
        <v>21</v>
      </c>
      <c r="AN44" s="33">
        <f t="shared" si="22"/>
        <v>21</v>
      </c>
      <c r="AO44" s="33">
        <f t="shared" ref="AO44:AR44" si="137">COUNTIF($C44:$W44,T44)</f>
        <v>21</v>
      </c>
      <c r="AP44" s="33">
        <f t="shared" si="137"/>
        <v>21</v>
      </c>
      <c r="AQ44" s="33">
        <f t="shared" si="137"/>
        <v>21</v>
      </c>
      <c r="AR44" s="33">
        <f t="shared" si="137"/>
        <v>21</v>
      </c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</row>
    <row r="45" ht="10.5" customHeight="1">
      <c r="A45" s="30" t="s">
        <v>62</v>
      </c>
      <c r="B45" s="31" t="s">
        <v>42</v>
      </c>
      <c r="C45" s="32" t="str">
        <f>VLOOKUP($C$2,Form_PrimeiraFase!$C$2:$FB$69,39,FALSE)</f>
        <v>Pafos</v>
      </c>
      <c r="D45" s="32" t="str">
        <f>VLOOKUP($D$2,Form_PrimeiraFase!$C$2:$FB$69,39,FALSE)</f>
        <v>Pafos</v>
      </c>
      <c r="E45" s="32" t="str">
        <f>VLOOKUP($E$2,Form_PrimeiraFase!$C$2:$FB$69,39,FALSE)</f>
        <v>Kairat</v>
      </c>
      <c r="F45" s="32" t="str">
        <f>VLOOKUP($F$2,Form_PrimeiraFase!$C$2:$FB$69,39,FALSE)</f>
        <v>Kairat</v>
      </c>
      <c r="G45" s="32" t="str">
        <f>VLOOKUP($G$2,Form_PrimeiraFase!$C$2:$FB$69,39,FALSE)</f>
        <v>Empate</v>
      </c>
      <c r="H45" s="32" t="str">
        <f>VLOOKUP($H$2,Form_PrimeiraFase!$C$2:$FB$69,39,FALSE)</f>
        <v>Kairat</v>
      </c>
      <c r="I45" s="32" t="str">
        <f>VLOOKUP($I$2,Form_PrimeiraFase!$C$2:$FB$69,39,FALSE)</f>
        <v>Empate</v>
      </c>
      <c r="J45" s="32" t="str">
        <f>VLOOKUP($J$2,Form_PrimeiraFase!$C$2:$FB$69,39,FALSE)</f>
        <v>Kairat</v>
      </c>
      <c r="K45" s="32" t="str">
        <f>VLOOKUP($K$2,Form_PrimeiraFase!$C$2:$FB$69,39,FALSE)</f>
        <v>Pafos</v>
      </c>
      <c r="L45" s="32" t="str">
        <f>VLOOKUP($L$2,Form_PrimeiraFase!$C$2:$FB$69,39,FALSE)</f>
        <v>Empate</v>
      </c>
      <c r="M45" s="32" t="str">
        <f>VLOOKUP($M$2,Form_PrimeiraFase!$C$2:$FB$69,39,FALSE)</f>
        <v>Empate</v>
      </c>
      <c r="N45" s="32" t="str">
        <f>VLOOKUP($N$2,Form_PrimeiraFase!$C$2:$FB$69,39,FALSE)</f>
        <v>Kairat</v>
      </c>
      <c r="O45" s="32" t="str">
        <f>VLOOKUP($O$2,Form_PrimeiraFase!$C$2:$FB$69,39,FALSE)</f>
        <v>Pafos</v>
      </c>
      <c r="P45" s="32" t="str">
        <f>VLOOKUP($P$2,Form_PrimeiraFase!$C$2:$FB$69,39,FALSE)</f>
        <v>Empate</v>
      </c>
      <c r="Q45" s="32" t="str">
        <f>VLOOKUP($Q$2,Form_PrimeiraFase!$C$2:$FB$69,39,FALSE)</f>
        <v>Kairat</v>
      </c>
      <c r="R45" s="32" t="str">
        <f>VLOOKUP($R$2,Form_PrimeiraFase!$C$2:$FB$69,39,FALSE)</f>
        <v>Kairat</v>
      </c>
      <c r="S45" s="32" t="str">
        <f>VLOOKUP($S$2,Form_PrimeiraFase!$C$2:$FB$69,39,FALSE)</f>
        <v>Pafos</v>
      </c>
      <c r="T45" s="32" t="str">
        <f>VLOOKUP($T$2,Form_PrimeiraFase!$C$2:$FB$69,39,FALSE)</f>
        <v>Kairat</v>
      </c>
      <c r="U45" s="32" t="str">
        <f>VLOOKUP($U$2,Form_PrimeiraFase!$C$2:$FB$69,39,FALSE)</f>
        <v>Empate</v>
      </c>
      <c r="V45" s="32" t="str">
        <f>VLOOKUP($V$2,Form_PrimeiraFase!$C$2:$FB$69,39,FALSE)</f>
        <v>Pafos</v>
      </c>
      <c r="W45" s="32" t="str">
        <f>VLOOKUP($W$2,Form_PrimeiraFase!$C$2:$FB$69,39,FALSE)</f>
        <v>Kairat</v>
      </c>
      <c r="X45" s="33">
        <f t="shared" ref="X45:Y45" si="138">COUNTIF($C45:$W45,J45)</f>
        <v>9</v>
      </c>
      <c r="Y45" s="33">
        <f t="shared" si="138"/>
        <v>6</v>
      </c>
      <c r="Z45" s="33">
        <f t="shared" si="9"/>
        <v>9</v>
      </c>
      <c r="AA45" s="33">
        <f t="shared" si="10"/>
        <v>6</v>
      </c>
      <c r="AB45" s="33">
        <f t="shared" ref="AB45:AC45" si="139">COUNTIF($C45:$W45,N45)</f>
        <v>9</v>
      </c>
      <c r="AC45" s="33">
        <f t="shared" si="139"/>
        <v>6</v>
      </c>
      <c r="AD45" s="33">
        <f t="shared" si="12"/>
        <v>6</v>
      </c>
      <c r="AE45" s="33">
        <f t="shared" si="13"/>
        <v>9</v>
      </c>
      <c r="AF45" s="33">
        <f t="shared" si="14"/>
        <v>9</v>
      </c>
      <c r="AG45" s="33">
        <f t="shared" si="15"/>
        <v>6</v>
      </c>
      <c r="AH45" s="33">
        <f t="shared" si="16"/>
        <v>6</v>
      </c>
      <c r="AI45" s="33">
        <f t="shared" si="17"/>
        <v>6</v>
      </c>
      <c r="AJ45" s="33">
        <f t="shared" si="18"/>
        <v>6</v>
      </c>
      <c r="AK45" s="33">
        <f t="shared" si="19"/>
        <v>6</v>
      </c>
      <c r="AL45" s="33">
        <f t="shared" si="20"/>
        <v>9</v>
      </c>
      <c r="AM45" s="33">
        <f t="shared" si="21"/>
        <v>6</v>
      </c>
      <c r="AN45" s="33">
        <f t="shared" si="22"/>
        <v>9</v>
      </c>
      <c r="AO45" s="33">
        <f t="shared" ref="AO45:AR45" si="140">COUNTIF($C45:$W45,T45)</f>
        <v>9</v>
      </c>
      <c r="AP45" s="33">
        <f t="shared" si="140"/>
        <v>6</v>
      </c>
      <c r="AQ45" s="33">
        <f t="shared" si="140"/>
        <v>6</v>
      </c>
      <c r="AR45" s="33">
        <f t="shared" si="140"/>
        <v>9</v>
      </c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</row>
    <row r="46" ht="10.5" customHeight="1">
      <c r="A46" s="30" t="s">
        <v>62</v>
      </c>
      <c r="B46" s="31" t="s">
        <v>39</v>
      </c>
      <c r="C46" s="32" t="str">
        <f>VLOOKUP($C$2,Form_PrimeiraFase!$C$2:$FB$69,40,FALSE)</f>
        <v>Arsenal</v>
      </c>
      <c r="D46" s="32" t="str">
        <f>VLOOKUP($D$2,Form_PrimeiraFase!$C$2:$FB$69,40,FALSE)</f>
        <v>Arsenal</v>
      </c>
      <c r="E46" s="32" t="str">
        <f>VLOOKUP($E$2,Form_PrimeiraFase!$C$2:$FB$69,40,FALSE)</f>
        <v>Arsenal</v>
      </c>
      <c r="F46" s="32" t="str">
        <f>VLOOKUP($F$2,Form_PrimeiraFase!$C$2:$FB$69,40,FALSE)</f>
        <v>Arsenal</v>
      </c>
      <c r="G46" s="32" t="str">
        <f>VLOOKUP($G$2,Form_PrimeiraFase!$C$2:$FB$69,40,FALSE)</f>
        <v>Arsenal</v>
      </c>
      <c r="H46" s="32" t="str">
        <f>VLOOKUP($H$2,Form_PrimeiraFase!$C$2:$FB$69,40,FALSE)</f>
        <v>Arsenal</v>
      </c>
      <c r="I46" s="32" t="str">
        <f>VLOOKUP($I$2,Form_PrimeiraFase!$C$2:$FB$69,40,FALSE)</f>
        <v>Arsenal</v>
      </c>
      <c r="J46" s="32" t="str">
        <f>VLOOKUP($J$2,Form_PrimeiraFase!$C$2:$FB$69,40,FALSE)</f>
        <v>Arsenal</v>
      </c>
      <c r="K46" s="32" t="str">
        <f>VLOOKUP($K$2,Form_PrimeiraFase!$C$2:$FB$69,40,FALSE)</f>
        <v>Atlético de Madrid</v>
      </c>
      <c r="L46" s="32" t="str">
        <f>VLOOKUP($L$2,Form_PrimeiraFase!$C$2:$FB$69,40,FALSE)</f>
        <v>Empate</v>
      </c>
      <c r="M46" s="32" t="str">
        <f>VLOOKUP($M$2,Form_PrimeiraFase!$C$2:$FB$69,40,FALSE)</f>
        <v>Arsenal</v>
      </c>
      <c r="N46" s="32" t="str">
        <f>VLOOKUP($N$2,Form_PrimeiraFase!$C$2:$FB$69,40,FALSE)</f>
        <v>Arsenal</v>
      </c>
      <c r="O46" s="32" t="str">
        <f>VLOOKUP($O$2,Form_PrimeiraFase!$C$2:$FB$69,40,FALSE)</f>
        <v>Arsenal</v>
      </c>
      <c r="P46" s="32" t="str">
        <f>VLOOKUP($P$2,Form_PrimeiraFase!$C$2:$FB$69,40,FALSE)</f>
        <v>Arsenal</v>
      </c>
      <c r="Q46" s="32" t="str">
        <f>VLOOKUP($Q$2,Form_PrimeiraFase!$C$2:$FB$69,40,FALSE)</f>
        <v>Arsenal</v>
      </c>
      <c r="R46" s="32" t="str">
        <f>VLOOKUP($R$2,Form_PrimeiraFase!$C$2:$FB$69,40,FALSE)</f>
        <v>Arsenal</v>
      </c>
      <c r="S46" s="32" t="str">
        <f>VLOOKUP($S$2,Form_PrimeiraFase!$C$2:$FB$69,40,FALSE)</f>
        <v>Arsenal</v>
      </c>
      <c r="T46" s="32" t="str">
        <f>VLOOKUP($T$2,Form_PrimeiraFase!$C$2:$FB$69,40,FALSE)</f>
        <v>Arsenal</v>
      </c>
      <c r="U46" s="32" t="str">
        <f>VLOOKUP($U$2,Form_PrimeiraFase!$C$2:$FB$69,40,FALSE)</f>
        <v>Arsenal</v>
      </c>
      <c r="V46" s="32" t="str">
        <f>VLOOKUP($V$2,Form_PrimeiraFase!$C$2:$FB$69,40,FALSE)</f>
        <v>Atlético de Madrid</v>
      </c>
      <c r="W46" s="32" t="str">
        <f>VLOOKUP($W$2,Form_PrimeiraFase!$C$2:$FB$69,40,FALSE)</f>
        <v>Empate</v>
      </c>
      <c r="X46" s="33">
        <f t="shared" ref="X46:Y46" si="141">COUNTIF($C46:$W46,J46)</f>
        <v>17</v>
      </c>
      <c r="Y46" s="33">
        <f t="shared" si="141"/>
        <v>2</v>
      </c>
      <c r="Z46" s="33">
        <f t="shared" si="9"/>
        <v>17</v>
      </c>
      <c r="AA46" s="33">
        <f t="shared" si="10"/>
        <v>17</v>
      </c>
      <c r="AB46" s="33">
        <f t="shared" ref="AB46:AC46" si="142">COUNTIF($C46:$W46,N46)</f>
        <v>17</v>
      </c>
      <c r="AC46" s="33">
        <f t="shared" si="142"/>
        <v>17</v>
      </c>
      <c r="AD46" s="33">
        <f t="shared" si="12"/>
        <v>17</v>
      </c>
      <c r="AE46" s="33">
        <f t="shared" si="13"/>
        <v>17</v>
      </c>
      <c r="AF46" s="33">
        <f t="shared" si="14"/>
        <v>17</v>
      </c>
      <c r="AG46" s="33">
        <f t="shared" si="15"/>
        <v>17</v>
      </c>
      <c r="AH46" s="33">
        <f t="shared" si="16"/>
        <v>17</v>
      </c>
      <c r="AI46" s="33">
        <f t="shared" si="17"/>
        <v>17</v>
      </c>
      <c r="AJ46" s="33">
        <f t="shared" si="18"/>
        <v>17</v>
      </c>
      <c r="AK46" s="33">
        <f t="shared" si="19"/>
        <v>17</v>
      </c>
      <c r="AL46" s="33">
        <f t="shared" si="20"/>
        <v>17</v>
      </c>
      <c r="AM46" s="33">
        <f t="shared" si="21"/>
        <v>2</v>
      </c>
      <c r="AN46" s="33">
        <f t="shared" si="22"/>
        <v>17</v>
      </c>
      <c r="AO46" s="33">
        <f t="shared" ref="AO46:AR46" si="143">COUNTIF($C46:$W46,T46)</f>
        <v>17</v>
      </c>
      <c r="AP46" s="33">
        <f t="shared" si="143"/>
        <v>17</v>
      </c>
      <c r="AQ46" s="33">
        <f t="shared" si="143"/>
        <v>2</v>
      </c>
      <c r="AR46" s="33">
        <f t="shared" si="143"/>
        <v>2</v>
      </c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ht="10.5" customHeight="1">
      <c r="A47" s="30" t="s">
        <v>62</v>
      </c>
      <c r="B47" s="31" t="s">
        <v>44</v>
      </c>
      <c r="C47" s="32" t="str">
        <f>VLOOKUP($C$2,Form_PrimeiraFase!$C$2:$FB$69,41,FALSE)</f>
        <v>Paris Saint-Germain</v>
      </c>
      <c r="D47" s="32" t="str">
        <f>VLOOKUP($D$2,Form_PrimeiraFase!$C$2:$FB$69,41,FALSE)</f>
        <v>Paris Saint-Germain</v>
      </c>
      <c r="E47" s="32" t="str">
        <f>VLOOKUP($E$2,Form_PrimeiraFase!$C$2:$FB$69,41,FALSE)</f>
        <v>Paris Saint-Germain</v>
      </c>
      <c r="F47" s="32" t="str">
        <f>VLOOKUP($F$2,Form_PrimeiraFase!$C$2:$FB$69,41,FALSE)</f>
        <v>Paris Saint-Germain</v>
      </c>
      <c r="G47" s="32" t="str">
        <f>VLOOKUP($G$2,Form_PrimeiraFase!$C$2:$FB$69,41,FALSE)</f>
        <v>Paris Saint-Germain</v>
      </c>
      <c r="H47" s="32" t="str">
        <f>VLOOKUP($H$2,Form_PrimeiraFase!$C$2:$FB$69,41,FALSE)</f>
        <v>Bayer Leverkusen</v>
      </c>
      <c r="I47" s="32" t="str">
        <f>VLOOKUP($I$2,Form_PrimeiraFase!$C$2:$FB$69,41,FALSE)</f>
        <v>Paris Saint-Germain</v>
      </c>
      <c r="J47" s="32" t="str">
        <f>VLOOKUP($J$2,Form_PrimeiraFase!$C$2:$FB$69,41,FALSE)</f>
        <v>Paris Saint-Germain</v>
      </c>
      <c r="K47" s="32" t="str">
        <f>VLOOKUP($K$2,Form_PrimeiraFase!$C$2:$FB$69,41,FALSE)</f>
        <v>Paris Saint-Germain</v>
      </c>
      <c r="L47" s="32" t="str">
        <f>VLOOKUP($L$2,Form_PrimeiraFase!$C$2:$FB$69,41,FALSE)</f>
        <v>Empate</v>
      </c>
      <c r="M47" s="32" t="str">
        <f>VLOOKUP($M$2,Form_PrimeiraFase!$C$2:$FB$69,41,FALSE)</f>
        <v>Paris Saint-Germain</v>
      </c>
      <c r="N47" s="32" t="str">
        <f>VLOOKUP($N$2,Form_PrimeiraFase!$C$2:$FB$69,41,FALSE)</f>
        <v>Paris Saint-Germain</v>
      </c>
      <c r="O47" s="32" t="str">
        <f>VLOOKUP($O$2,Form_PrimeiraFase!$C$2:$FB$69,41,FALSE)</f>
        <v>Paris Saint-Germain</v>
      </c>
      <c r="P47" s="32" t="str">
        <f>VLOOKUP($P$2,Form_PrimeiraFase!$C$2:$FB$69,41,FALSE)</f>
        <v>Paris Saint-Germain</v>
      </c>
      <c r="Q47" s="32" t="str">
        <f>VLOOKUP($Q$2,Form_PrimeiraFase!$C$2:$FB$69,41,FALSE)</f>
        <v>Paris Saint-Germain</v>
      </c>
      <c r="R47" s="32" t="str">
        <f>VLOOKUP($R$2,Form_PrimeiraFase!$C$2:$FB$69,41,FALSE)</f>
        <v>Empate</v>
      </c>
      <c r="S47" s="32" t="str">
        <f>VLOOKUP($S$2,Form_PrimeiraFase!$C$2:$FB$69,41,FALSE)</f>
        <v>Paris Saint-Germain</v>
      </c>
      <c r="T47" s="32" t="str">
        <f>VLOOKUP($T$2,Form_PrimeiraFase!$C$2:$FB$69,41,FALSE)</f>
        <v>Bayer Leverkusen</v>
      </c>
      <c r="U47" s="32" t="str">
        <f>VLOOKUP($U$2,Form_PrimeiraFase!$C$2:$FB$69,41,FALSE)</f>
        <v>Paris Saint-Germain</v>
      </c>
      <c r="V47" s="32" t="str">
        <f>VLOOKUP($V$2,Form_PrimeiraFase!$C$2:$FB$69,41,FALSE)</f>
        <v>Paris Saint-Germain</v>
      </c>
      <c r="W47" s="32" t="str">
        <f>VLOOKUP($W$2,Form_PrimeiraFase!$C$2:$FB$69,41,FALSE)</f>
        <v>Paris Saint-Germain</v>
      </c>
      <c r="X47" s="33">
        <f t="shared" ref="X47:Y47" si="144">COUNTIF($C47:$W47,J47)</f>
        <v>17</v>
      </c>
      <c r="Y47" s="33">
        <f t="shared" si="144"/>
        <v>17</v>
      </c>
      <c r="Z47" s="33">
        <f t="shared" si="9"/>
        <v>2</v>
      </c>
      <c r="AA47" s="33">
        <f t="shared" si="10"/>
        <v>17</v>
      </c>
      <c r="AB47" s="33">
        <f t="shared" ref="AB47:AC47" si="145">COUNTIF($C47:$W47,N47)</f>
        <v>17</v>
      </c>
      <c r="AC47" s="33">
        <f t="shared" si="145"/>
        <v>17</v>
      </c>
      <c r="AD47" s="33">
        <f t="shared" si="12"/>
        <v>17</v>
      </c>
      <c r="AE47" s="33">
        <f t="shared" si="13"/>
        <v>17</v>
      </c>
      <c r="AF47" s="33">
        <f t="shared" si="14"/>
        <v>17</v>
      </c>
      <c r="AG47" s="33">
        <f t="shared" si="15"/>
        <v>17</v>
      </c>
      <c r="AH47" s="33">
        <f t="shared" si="16"/>
        <v>17</v>
      </c>
      <c r="AI47" s="33">
        <f t="shared" si="17"/>
        <v>17</v>
      </c>
      <c r="AJ47" s="33">
        <f t="shared" si="18"/>
        <v>17</v>
      </c>
      <c r="AK47" s="33">
        <f t="shared" si="19"/>
        <v>17</v>
      </c>
      <c r="AL47" s="33">
        <f t="shared" si="20"/>
        <v>17</v>
      </c>
      <c r="AM47" s="33">
        <f t="shared" si="21"/>
        <v>2</v>
      </c>
      <c r="AN47" s="33">
        <f t="shared" si="22"/>
        <v>2</v>
      </c>
      <c r="AO47" s="33">
        <f t="shared" ref="AO47:AR47" si="146">COUNTIF($C47:$W47,T47)</f>
        <v>2</v>
      </c>
      <c r="AP47" s="33">
        <f t="shared" si="146"/>
        <v>17</v>
      </c>
      <c r="AQ47" s="33">
        <f t="shared" si="146"/>
        <v>17</v>
      </c>
      <c r="AR47" s="33">
        <f t="shared" si="146"/>
        <v>17</v>
      </c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</row>
    <row r="48" ht="10.5" customHeight="1">
      <c r="A48" s="30" t="s">
        <v>62</v>
      </c>
      <c r="B48" s="31" t="s">
        <v>49</v>
      </c>
      <c r="C48" s="32" t="str">
        <f>VLOOKUP($C$2,Form_PrimeiraFase!$C$2:$FB$69,42,FALSE)</f>
        <v>Manchester City</v>
      </c>
      <c r="D48" s="32" t="str">
        <f>VLOOKUP($D$2,Form_PrimeiraFase!$C$2:$FB$69,42,FALSE)</f>
        <v>Manchester City</v>
      </c>
      <c r="E48" s="32" t="str">
        <f>VLOOKUP($E$2,Form_PrimeiraFase!$C$2:$FB$69,42,FALSE)</f>
        <v>Manchester City</v>
      </c>
      <c r="F48" s="32" t="str">
        <f>VLOOKUP($F$2,Form_PrimeiraFase!$C$2:$FB$69,42,FALSE)</f>
        <v>Manchester City</v>
      </c>
      <c r="G48" s="32" t="str">
        <f>VLOOKUP($G$2,Form_PrimeiraFase!$C$2:$FB$69,42,FALSE)</f>
        <v>Manchester City</v>
      </c>
      <c r="H48" s="32" t="str">
        <f>VLOOKUP($H$2,Form_PrimeiraFase!$C$2:$FB$69,42,FALSE)</f>
        <v>Villarreal</v>
      </c>
      <c r="I48" s="32" t="str">
        <f>VLOOKUP($I$2,Form_PrimeiraFase!$C$2:$FB$69,42,FALSE)</f>
        <v>Manchester City</v>
      </c>
      <c r="J48" s="32" t="str">
        <f>VLOOKUP($J$2,Form_PrimeiraFase!$C$2:$FB$69,42,FALSE)</f>
        <v>Empate</v>
      </c>
      <c r="K48" s="32" t="str">
        <f>VLOOKUP($K$2,Form_PrimeiraFase!$C$2:$FB$69,42,FALSE)</f>
        <v>Manchester City</v>
      </c>
      <c r="L48" s="32" t="str">
        <f>VLOOKUP($L$2,Form_PrimeiraFase!$C$2:$FB$69,42,FALSE)</f>
        <v>Manchester City</v>
      </c>
      <c r="M48" s="32" t="str">
        <f>VLOOKUP($M$2,Form_PrimeiraFase!$C$2:$FB$69,42,FALSE)</f>
        <v>Manchester City</v>
      </c>
      <c r="N48" s="32" t="str">
        <f>VLOOKUP($N$2,Form_PrimeiraFase!$C$2:$FB$69,42,FALSE)</f>
        <v>Manchester City</v>
      </c>
      <c r="O48" s="32" t="str">
        <f>VLOOKUP($O$2,Form_PrimeiraFase!$C$2:$FB$69,42,FALSE)</f>
        <v>Manchester City</v>
      </c>
      <c r="P48" s="32" t="str">
        <f>VLOOKUP($P$2,Form_PrimeiraFase!$C$2:$FB$69,42,FALSE)</f>
        <v>Manchester City</v>
      </c>
      <c r="Q48" s="32" t="str">
        <f>VLOOKUP($Q$2,Form_PrimeiraFase!$C$2:$FB$69,42,FALSE)</f>
        <v>Empate</v>
      </c>
      <c r="R48" s="32" t="str">
        <f>VLOOKUP($R$2,Form_PrimeiraFase!$C$2:$FB$69,42,FALSE)</f>
        <v>Empate</v>
      </c>
      <c r="S48" s="32" t="str">
        <f>VLOOKUP($S$2,Form_PrimeiraFase!$C$2:$FB$69,42,FALSE)</f>
        <v>Manchester City</v>
      </c>
      <c r="T48" s="32" t="str">
        <f>VLOOKUP($T$2,Form_PrimeiraFase!$C$2:$FB$69,42,FALSE)</f>
        <v>Villarreal</v>
      </c>
      <c r="U48" s="32" t="str">
        <f>VLOOKUP($U$2,Form_PrimeiraFase!$C$2:$FB$69,42,FALSE)</f>
        <v>Manchester City</v>
      </c>
      <c r="V48" s="32" t="str">
        <f>VLOOKUP($V$2,Form_PrimeiraFase!$C$2:$FB$69,42,FALSE)</f>
        <v>Manchester City</v>
      </c>
      <c r="W48" s="32" t="str">
        <f>VLOOKUP($W$2,Form_PrimeiraFase!$C$2:$FB$69,42,FALSE)</f>
        <v>Manchester City</v>
      </c>
      <c r="X48" s="33">
        <f t="shared" ref="X48:Y48" si="147">COUNTIF($C48:$W48,J48)</f>
        <v>3</v>
      </c>
      <c r="Y48" s="33">
        <f t="shared" si="147"/>
        <v>16</v>
      </c>
      <c r="Z48" s="33">
        <f t="shared" si="9"/>
        <v>3</v>
      </c>
      <c r="AA48" s="33">
        <f t="shared" si="10"/>
        <v>16</v>
      </c>
      <c r="AB48" s="33">
        <f t="shared" ref="AB48:AC48" si="148">COUNTIF($C48:$W48,N48)</f>
        <v>16</v>
      </c>
      <c r="AC48" s="33">
        <f t="shared" si="148"/>
        <v>16</v>
      </c>
      <c r="AD48" s="33">
        <f t="shared" si="12"/>
        <v>16</v>
      </c>
      <c r="AE48" s="33">
        <f t="shared" si="13"/>
        <v>16</v>
      </c>
      <c r="AF48" s="33">
        <f t="shared" si="14"/>
        <v>16</v>
      </c>
      <c r="AG48" s="33">
        <f t="shared" si="15"/>
        <v>16</v>
      </c>
      <c r="AH48" s="33">
        <f t="shared" si="16"/>
        <v>16</v>
      </c>
      <c r="AI48" s="33">
        <f t="shared" si="17"/>
        <v>16</v>
      </c>
      <c r="AJ48" s="33">
        <f t="shared" si="18"/>
        <v>16</v>
      </c>
      <c r="AK48" s="33">
        <f t="shared" si="19"/>
        <v>16</v>
      </c>
      <c r="AL48" s="33">
        <f t="shared" si="20"/>
        <v>3</v>
      </c>
      <c r="AM48" s="33">
        <f t="shared" si="21"/>
        <v>16</v>
      </c>
      <c r="AN48" s="33">
        <f t="shared" si="22"/>
        <v>2</v>
      </c>
      <c r="AO48" s="33">
        <f t="shared" ref="AO48:AR48" si="149">COUNTIF($C48:$W48,T48)</f>
        <v>2</v>
      </c>
      <c r="AP48" s="33">
        <f t="shared" si="149"/>
        <v>16</v>
      </c>
      <c r="AQ48" s="33">
        <f t="shared" si="149"/>
        <v>16</v>
      </c>
      <c r="AR48" s="33">
        <f t="shared" si="149"/>
        <v>16</v>
      </c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</row>
    <row r="49" ht="10.5" customHeight="1">
      <c r="A49" s="30" t="s">
        <v>62</v>
      </c>
      <c r="B49" s="31" t="s">
        <v>63</v>
      </c>
      <c r="C49" s="32" t="str">
        <f>VLOOKUP($C$2,Form_PrimeiraFase!$C$2:$FB$69,43,FALSE)</f>
        <v>Napoli</v>
      </c>
      <c r="D49" s="32" t="str">
        <f>VLOOKUP($D$2,Form_PrimeiraFase!$C$2:$FB$69,43,FALSE)</f>
        <v>Napoli</v>
      </c>
      <c r="E49" s="32" t="str">
        <f>VLOOKUP($E$2,Form_PrimeiraFase!$C$2:$FB$69,43,FALSE)</f>
        <v>PSV Eindhoven</v>
      </c>
      <c r="F49" s="32" t="str">
        <f>VLOOKUP($F$2,Form_PrimeiraFase!$C$2:$FB$69,43,FALSE)</f>
        <v>Empate</v>
      </c>
      <c r="G49" s="32" t="str">
        <f>VLOOKUP($G$2,Form_PrimeiraFase!$C$2:$FB$69,43,FALSE)</f>
        <v>Empate</v>
      </c>
      <c r="H49" s="32" t="str">
        <f>VLOOKUP($H$2,Form_PrimeiraFase!$C$2:$FB$69,43,FALSE)</f>
        <v>PSV Eindhoven</v>
      </c>
      <c r="I49" s="32" t="str">
        <f>VLOOKUP($I$2,Form_PrimeiraFase!$C$2:$FB$69,43,FALSE)</f>
        <v>Napoli</v>
      </c>
      <c r="J49" s="32" t="str">
        <f>VLOOKUP($J$2,Form_PrimeiraFase!$C$2:$FB$69,43,FALSE)</f>
        <v>PSV Eindhoven</v>
      </c>
      <c r="K49" s="32" t="str">
        <f>VLOOKUP($K$2,Form_PrimeiraFase!$C$2:$FB$69,43,FALSE)</f>
        <v>PSV Eindhoven</v>
      </c>
      <c r="L49" s="32" t="str">
        <f>VLOOKUP($L$2,Form_PrimeiraFase!$C$2:$FB$69,43,FALSE)</f>
        <v>Napoli</v>
      </c>
      <c r="M49" s="32" t="str">
        <f>VLOOKUP($M$2,Form_PrimeiraFase!$C$2:$FB$69,43,FALSE)</f>
        <v>PSV Eindhoven</v>
      </c>
      <c r="N49" s="32" t="str">
        <f>VLOOKUP($N$2,Form_PrimeiraFase!$C$2:$FB$69,43,FALSE)</f>
        <v>Empate</v>
      </c>
      <c r="O49" s="32" t="str">
        <f>VLOOKUP($O$2,Form_PrimeiraFase!$C$2:$FB$69,43,FALSE)</f>
        <v>PSV Eindhoven</v>
      </c>
      <c r="P49" s="32" t="str">
        <f>VLOOKUP($P$2,Form_PrimeiraFase!$C$2:$FB$69,43,FALSE)</f>
        <v>Napoli</v>
      </c>
      <c r="Q49" s="32" t="str">
        <f>VLOOKUP($Q$2,Form_PrimeiraFase!$C$2:$FB$69,43,FALSE)</f>
        <v>PSV Eindhoven</v>
      </c>
      <c r="R49" s="32" t="str">
        <f>VLOOKUP($R$2,Form_PrimeiraFase!$C$2:$FB$69,43,FALSE)</f>
        <v>PSV Eindhoven</v>
      </c>
      <c r="S49" s="32" t="str">
        <f>VLOOKUP($S$2,Form_PrimeiraFase!$C$2:$FB$69,43,FALSE)</f>
        <v>Napoli</v>
      </c>
      <c r="T49" s="32" t="str">
        <f>VLOOKUP($T$2,Form_PrimeiraFase!$C$2:$FB$69,43,FALSE)</f>
        <v>PSV Eindhoven</v>
      </c>
      <c r="U49" s="32" t="str">
        <f>VLOOKUP($U$2,Form_PrimeiraFase!$C$2:$FB$69,43,FALSE)</f>
        <v>Napoli</v>
      </c>
      <c r="V49" s="32" t="str">
        <f>VLOOKUP($V$2,Form_PrimeiraFase!$C$2:$FB$69,43,FALSE)</f>
        <v>Napoli</v>
      </c>
      <c r="W49" s="32" t="str">
        <f>VLOOKUP($W$2,Form_PrimeiraFase!$C$2:$FB$69,43,FALSE)</f>
        <v>Napoli</v>
      </c>
      <c r="X49" s="33">
        <f t="shared" ref="X49:Y49" si="150">COUNTIF($C49:$W49,J49)</f>
        <v>9</v>
      </c>
      <c r="Y49" s="33">
        <f t="shared" si="150"/>
        <v>9</v>
      </c>
      <c r="Z49" s="33">
        <f t="shared" si="9"/>
        <v>9</v>
      </c>
      <c r="AA49" s="33">
        <f t="shared" si="10"/>
        <v>9</v>
      </c>
      <c r="AB49" s="33">
        <f t="shared" ref="AB49:AC49" si="151">COUNTIF($C49:$W49,N49)</f>
        <v>3</v>
      </c>
      <c r="AC49" s="33">
        <f t="shared" si="151"/>
        <v>9</v>
      </c>
      <c r="AD49" s="33">
        <f t="shared" si="12"/>
        <v>3</v>
      </c>
      <c r="AE49" s="33">
        <f t="shared" si="13"/>
        <v>3</v>
      </c>
      <c r="AF49" s="33">
        <f t="shared" si="14"/>
        <v>9</v>
      </c>
      <c r="AG49" s="33">
        <f t="shared" si="15"/>
        <v>9</v>
      </c>
      <c r="AH49" s="33">
        <f t="shared" si="16"/>
        <v>9</v>
      </c>
      <c r="AI49" s="33">
        <f t="shared" si="17"/>
        <v>9</v>
      </c>
      <c r="AJ49" s="33">
        <f t="shared" si="18"/>
        <v>9</v>
      </c>
      <c r="AK49" s="33">
        <f t="shared" si="19"/>
        <v>9</v>
      </c>
      <c r="AL49" s="33">
        <f t="shared" si="20"/>
        <v>9</v>
      </c>
      <c r="AM49" s="33">
        <f t="shared" si="21"/>
        <v>9</v>
      </c>
      <c r="AN49" s="33">
        <f t="shared" si="22"/>
        <v>9</v>
      </c>
      <c r="AO49" s="33">
        <f t="shared" ref="AO49:AR49" si="152">COUNTIF($C49:$W49,T49)</f>
        <v>9</v>
      </c>
      <c r="AP49" s="33">
        <f t="shared" si="152"/>
        <v>9</v>
      </c>
      <c r="AQ49" s="33">
        <f t="shared" si="152"/>
        <v>9</v>
      </c>
      <c r="AR49" s="33">
        <f t="shared" si="152"/>
        <v>9</v>
      </c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</row>
    <row r="50" ht="10.5" customHeight="1">
      <c r="A50" s="30" t="s">
        <v>62</v>
      </c>
      <c r="B50" s="31" t="s">
        <v>61</v>
      </c>
      <c r="C50" s="32" t="str">
        <f>VLOOKUP($C$2,Form_PrimeiraFase!$C$2:$FB$69,44,FALSE)</f>
        <v>Borussia Dortmund</v>
      </c>
      <c r="D50" s="32" t="str">
        <f>VLOOKUP($D$2,Form_PrimeiraFase!$C$2:$FB$69,44,FALSE)</f>
        <v>Borussia Dortmund</v>
      </c>
      <c r="E50" s="32" t="str">
        <f>VLOOKUP($E$2,Form_PrimeiraFase!$C$2:$FB$69,44,FALSE)</f>
        <v>Borussia Dortmund</v>
      </c>
      <c r="F50" s="32" t="str">
        <f>VLOOKUP($F$2,Form_PrimeiraFase!$C$2:$FB$69,44,FALSE)</f>
        <v>Borussia Dortmund</v>
      </c>
      <c r="G50" s="32" t="str">
        <f>VLOOKUP($G$2,Form_PrimeiraFase!$C$2:$FB$69,44,FALSE)</f>
        <v>Borussia Dortmund</v>
      </c>
      <c r="H50" s="32" t="str">
        <f>VLOOKUP($H$2,Form_PrimeiraFase!$C$2:$FB$69,44,FALSE)</f>
        <v>Borussia Dortmund</v>
      </c>
      <c r="I50" s="32" t="str">
        <f>VLOOKUP($I$2,Form_PrimeiraFase!$C$2:$FB$69,44,FALSE)</f>
        <v>Borussia Dortmund</v>
      </c>
      <c r="J50" s="32" t="str">
        <f>VLOOKUP($J$2,Form_PrimeiraFase!$C$2:$FB$69,44,FALSE)</f>
        <v>Borussia Dortmund</v>
      </c>
      <c r="K50" s="32" t="str">
        <f>VLOOKUP($K$2,Form_PrimeiraFase!$C$2:$FB$69,44,FALSE)</f>
        <v>Borussia Dortmund</v>
      </c>
      <c r="L50" s="32" t="str">
        <f>VLOOKUP($L$2,Form_PrimeiraFase!$C$2:$FB$69,44,FALSE)</f>
        <v>Empate</v>
      </c>
      <c r="M50" s="32" t="str">
        <f>VLOOKUP($M$2,Form_PrimeiraFase!$C$2:$FB$69,44,FALSE)</f>
        <v>Empate</v>
      </c>
      <c r="N50" s="32" t="str">
        <f>VLOOKUP($N$2,Form_PrimeiraFase!$C$2:$FB$69,44,FALSE)</f>
        <v>Borussia Dortmund</v>
      </c>
      <c r="O50" s="32" t="str">
        <f>VLOOKUP($O$2,Form_PrimeiraFase!$C$2:$FB$69,44,FALSE)</f>
        <v>Borussia Dortmund</v>
      </c>
      <c r="P50" s="32" t="str">
        <f>VLOOKUP($P$2,Form_PrimeiraFase!$C$2:$FB$69,44,FALSE)</f>
        <v>Borussia Dortmund</v>
      </c>
      <c r="Q50" s="32" t="str">
        <f>VLOOKUP($Q$2,Form_PrimeiraFase!$C$2:$FB$69,44,FALSE)</f>
        <v>Borussia Dortmund</v>
      </c>
      <c r="R50" s="32" t="str">
        <f>VLOOKUP($R$2,Form_PrimeiraFase!$C$2:$FB$69,44,FALSE)</f>
        <v>Borussia Dortmund</v>
      </c>
      <c r="S50" s="32" t="str">
        <f>VLOOKUP($S$2,Form_PrimeiraFase!$C$2:$FB$69,44,FALSE)</f>
        <v>Borussia Dortmund</v>
      </c>
      <c r="T50" s="32" t="str">
        <f>VLOOKUP($T$2,Form_PrimeiraFase!$C$2:$FB$69,44,FALSE)</f>
        <v>Copenhagen</v>
      </c>
      <c r="U50" s="32" t="str">
        <f>VLOOKUP($U$2,Form_PrimeiraFase!$C$2:$FB$69,44,FALSE)</f>
        <v>Borussia Dortmund</v>
      </c>
      <c r="V50" s="32" t="str">
        <f>VLOOKUP($V$2,Form_PrimeiraFase!$C$2:$FB$69,44,FALSE)</f>
        <v>Borussia Dortmund</v>
      </c>
      <c r="W50" s="32" t="str">
        <f>VLOOKUP($W$2,Form_PrimeiraFase!$C$2:$FB$69,44,FALSE)</f>
        <v>Borussia Dortmund</v>
      </c>
      <c r="X50" s="33">
        <f t="shared" ref="X50:Y50" si="153">COUNTIF($C50:$W50,J50)</f>
        <v>18</v>
      </c>
      <c r="Y50" s="33">
        <f t="shared" si="153"/>
        <v>18</v>
      </c>
      <c r="Z50" s="33">
        <f t="shared" si="9"/>
        <v>18</v>
      </c>
      <c r="AA50" s="33">
        <f t="shared" si="10"/>
        <v>18</v>
      </c>
      <c r="AB50" s="33">
        <f t="shared" ref="AB50:AC50" si="154">COUNTIF($C50:$W50,N50)</f>
        <v>18</v>
      </c>
      <c r="AC50" s="33">
        <f t="shared" si="154"/>
        <v>18</v>
      </c>
      <c r="AD50" s="33">
        <f t="shared" si="12"/>
        <v>18</v>
      </c>
      <c r="AE50" s="33">
        <f t="shared" si="13"/>
        <v>18</v>
      </c>
      <c r="AF50" s="33">
        <f t="shared" si="14"/>
        <v>18</v>
      </c>
      <c r="AG50" s="33">
        <f t="shared" si="15"/>
        <v>18</v>
      </c>
      <c r="AH50" s="33">
        <f t="shared" si="16"/>
        <v>18</v>
      </c>
      <c r="AI50" s="33">
        <f t="shared" si="17"/>
        <v>18</v>
      </c>
      <c r="AJ50" s="33">
        <f t="shared" si="18"/>
        <v>2</v>
      </c>
      <c r="AK50" s="33">
        <f t="shared" si="19"/>
        <v>18</v>
      </c>
      <c r="AL50" s="33">
        <f t="shared" si="20"/>
        <v>18</v>
      </c>
      <c r="AM50" s="33">
        <f t="shared" si="21"/>
        <v>2</v>
      </c>
      <c r="AN50" s="33">
        <f t="shared" si="22"/>
        <v>18</v>
      </c>
      <c r="AO50" s="33">
        <f t="shared" ref="AO50:AR50" si="155">COUNTIF($C50:$W50,T50)</f>
        <v>1</v>
      </c>
      <c r="AP50" s="33">
        <f t="shared" si="155"/>
        <v>18</v>
      </c>
      <c r="AQ50" s="33">
        <f t="shared" si="155"/>
        <v>18</v>
      </c>
      <c r="AR50" s="33">
        <f t="shared" si="155"/>
        <v>18</v>
      </c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</row>
    <row r="51" ht="10.5" customHeight="1">
      <c r="A51" s="30" t="s">
        <v>62</v>
      </c>
      <c r="B51" s="31" t="s">
        <v>47</v>
      </c>
      <c r="C51" s="32" t="str">
        <f>VLOOKUP($C$2,Form_PrimeiraFase!$C$2:$FB$69,45,FALSE)</f>
        <v>Internazionale</v>
      </c>
      <c r="D51" s="32" t="str">
        <f>VLOOKUP($D$2,Form_PrimeiraFase!$C$2:$FB$69,45,FALSE)</f>
        <v>Internazionale</v>
      </c>
      <c r="E51" s="32" t="str">
        <f>VLOOKUP($E$2,Form_PrimeiraFase!$C$2:$FB$69,45,FALSE)</f>
        <v>Internazionale</v>
      </c>
      <c r="F51" s="32" t="str">
        <f>VLOOKUP($F$2,Form_PrimeiraFase!$C$2:$FB$69,45,FALSE)</f>
        <v>Internazionale</v>
      </c>
      <c r="G51" s="32" t="str">
        <f>VLOOKUP($G$2,Form_PrimeiraFase!$C$2:$FB$69,45,FALSE)</f>
        <v>Internazionale</v>
      </c>
      <c r="H51" s="32" t="str">
        <f>VLOOKUP($H$2,Form_PrimeiraFase!$C$2:$FB$69,45,FALSE)</f>
        <v>Internazionale</v>
      </c>
      <c r="I51" s="32" t="str">
        <f>VLOOKUP($I$2,Form_PrimeiraFase!$C$2:$FB$69,45,FALSE)</f>
        <v>Internazionale</v>
      </c>
      <c r="J51" s="32" t="str">
        <f>VLOOKUP($J$2,Form_PrimeiraFase!$C$2:$FB$69,45,FALSE)</f>
        <v>Internazionale</v>
      </c>
      <c r="K51" s="32" t="str">
        <f>VLOOKUP($K$2,Form_PrimeiraFase!$C$2:$FB$69,45,FALSE)</f>
        <v>Union Saint-Gilloise</v>
      </c>
      <c r="L51" s="32" t="str">
        <f>VLOOKUP($L$2,Form_PrimeiraFase!$C$2:$FB$69,45,FALSE)</f>
        <v>Internazionale</v>
      </c>
      <c r="M51" s="32" t="str">
        <f>VLOOKUP($M$2,Form_PrimeiraFase!$C$2:$FB$69,45,FALSE)</f>
        <v>Internazionale</v>
      </c>
      <c r="N51" s="32" t="str">
        <f>VLOOKUP($N$2,Form_PrimeiraFase!$C$2:$FB$69,45,FALSE)</f>
        <v>Internazionale</v>
      </c>
      <c r="O51" s="32" t="str">
        <f>VLOOKUP($O$2,Form_PrimeiraFase!$C$2:$FB$69,45,FALSE)</f>
        <v>Internazionale</v>
      </c>
      <c r="P51" s="32" t="str">
        <f>VLOOKUP($P$2,Form_PrimeiraFase!$C$2:$FB$69,45,FALSE)</f>
        <v>Internazionale</v>
      </c>
      <c r="Q51" s="32" t="str">
        <f>VLOOKUP($Q$2,Form_PrimeiraFase!$C$2:$FB$69,45,FALSE)</f>
        <v>Empate</v>
      </c>
      <c r="R51" s="32" t="str">
        <f>VLOOKUP($R$2,Form_PrimeiraFase!$C$2:$FB$69,45,FALSE)</f>
        <v>Internazionale</v>
      </c>
      <c r="S51" s="32" t="str">
        <f>VLOOKUP($S$2,Form_PrimeiraFase!$C$2:$FB$69,45,FALSE)</f>
        <v>Internazionale</v>
      </c>
      <c r="T51" s="32" t="str">
        <f>VLOOKUP($T$2,Form_PrimeiraFase!$C$2:$FB$69,45,FALSE)</f>
        <v>Union Saint-Gilloise</v>
      </c>
      <c r="U51" s="32" t="str">
        <f>VLOOKUP($U$2,Form_PrimeiraFase!$C$2:$FB$69,45,FALSE)</f>
        <v>Internazionale</v>
      </c>
      <c r="V51" s="32" t="str">
        <f>VLOOKUP($V$2,Form_PrimeiraFase!$C$2:$FB$69,45,FALSE)</f>
        <v>Internazionale</v>
      </c>
      <c r="W51" s="32" t="str">
        <f>VLOOKUP($W$2,Form_PrimeiraFase!$C$2:$FB$69,45,FALSE)</f>
        <v>Internazionale</v>
      </c>
      <c r="X51" s="33">
        <f t="shared" ref="X51:Y51" si="156">COUNTIF($C51:$W51,J51)</f>
        <v>18</v>
      </c>
      <c r="Y51" s="33">
        <f t="shared" si="156"/>
        <v>2</v>
      </c>
      <c r="Z51" s="33">
        <f t="shared" si="9"/>
        <v>18</v>
      </c>
      <c r="AA51" s="33">
        <f t="shared" si="10"/>
        <v>18</v>
      </c>
      <c r="AB51" s="33">
        <f t="shared" ref="AB51:AC51" si="157">COUNTIF($C51:$W51,N51)</f>
        <v>18</v>
      </c>
      <c r="AC51" s="33">
        <f t="shared" si="157"/>
        <v>18</v>
      </c>
      <c r="AD51" s="33">
        <f t="shared" si="12"/>
        <v>18</v>
      </c>
      <c r="AE51" s="33">
        <f t="shared" si="13"/>
        <v>18</v>
      </c>
      <c r="AF51" s="33">
        <f t="shared" si="14"/>
        <v>18</v>
      </c>
      <c r="AG51" s="33">
        <f t="shared" si="15"/>
        <v>18</v>
      </c>
      <c r="AH51" s="33">
        <f t="shared" si="16"/>
        <v>18</v>
      </c>
      <c r="AI51" s="33">
        <f t="shared" si="17"/>
        <v>18</v>
      </c>
      <c r="AJ51" s="33">
        <f t="shared" si="18"/>
        <v>18</v>
      </c>
      <c r="AK51" s="33">
        <f t="shared" si="19"/>
        <v>18</v>
      </c>
      <c r="AL51" s="33">
        <f t="shared" si="20"/>
        <v>1</v>
      </c>
      <c r="AM51" s="33">
        <f t="shared" si="21"/>
        <v>18</v>
      </c>
      <c r="AN51" s="33">
        <f t="shared" si="22"/>
        <v>18</v>
      </c>
      <c r="AO51" s="33">
        <f t="shared" ref="AO51:AR51" si="158">COUNTIF($C51:$W51,T51)</f>
        <v>2</v>
      </c>
      <c r="AP51" s="33">
        <f t="shared" si="158"/>
        <v>18</v>
      </c>
      <c r="AQ51" s="33">
        <f t="shared" si="158"/>
        <v>18</v>
      </c>
      <c r="AR51" s="33">
        <f t="shared" si="158"/>
        <v>18</v>
      </c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</row>
    <row r="52" ht="10.5" customHeight="1">
      <c r="A52" s="30" t="s">
        <v>62</v>
      </c>
      <c r="B52" s="31" t="s">
        <v>59</v>
      </c>
      <c r="C52" s="32" t="str">
        <f>VLOOKUP($C$2,Form_PrimeiraFase!$C$2:$FB$69,46,FALSE)</f>
        <v>Newcastle</v>
      </c>
      <c r="D52" s="32" t="str">
        <f>VLOOKUP($D$2,Form_PrimeiraFase!$C$2:$FB$69,46,FALSE)</f>
        <v>Newcastle</v>
      </c>
      <c r="E52" s="32" t="str">
        <f>VLOOKUP($E$2,Form_PrimeiraFase!$C$2:$FB$69,46,FALSE)</f>
        <v>Benfica</v>
      </c>
      <c r="F52" s="32" t="str">
        <f>VLOOKUP($F$2,Form_PrimeiraFase!$C$2:$FB$69,46,FALSE)</f>
        <v>Newcastle</v>
      </c>
      <c r="G52" s="32" t="str">
        <f>VLOOKUP($G$2,Form_PrimeiraFase!$C$2:$FB$69,46,FALSE)</f>
        <v>Newcastle</v>
      </c>
      <c r="H52" s="32" t="str">
        <f>VLOOKUP($H$2,Form_PrimeiraFase!$C$2:$FB$69,46,FALSE)</f>
        <v>Newcastle</v>
      </c>
      <c r="I52" s="32" t="str">
        <f>VLOOKUP($I$2,Form_PrimeiraFase!$C$2:$FB$69,46,FALSE)</f>
        <v>Newcastle</v>
      </c>
      <c r="J52" s="32" t="str">
        <f>VLOOKUP($J$2,Form_PrimeiraFase!$C$2:$FB$69,46,FALSE)</f>
        <v>Newcastle</v>
      </c>
      <c r="K52" s="32" t="str">
        <f>VLOOKUP($K$2,Form_PrimeiraFase!$C$2:$FB$69,46,FALSE)</f>
        <v>Newcastle</v>
      </c>
      <c r="L52" s="32" t="str">
        <f>VLOOKUP($L$2,Form_PrimeiraFase!$C$2:$FB$69,46,FALSE)</f>
        <v>Newcastle</v>
      </c>
      <c r="M52" s="32" t="str">
        <f>VLOOKUP($M$2,Form_PrimeiraFase!$C$2:$FB$69,46,FALSE)</f>
        <v>Newcastle</v>
      </c>
      <c r="N52" s="32" t="str">
        <f>VLOOKUP($N$2,Form_PrimeiraFase!$C$2:$FB$69,46,FALSE)</f>
        <v>Newcastle</v>
      </c>
      <c r="O52" s="32" t="str">
        <f>VLOOKUP($O$2,Form_PrimeiraFase!$C$2:$FB$69,46,FALSE)</f>
        <v>Empate</v>
      </c>
      <c r="P52" s="32" t="str">
        <f>VLOOKUP($P$2,Form_PrimeiraFase!$C$2:$FB$69,46,FALSE)</f>
        <v>Empate</v>
      </c>
      <c r="Q52" s="32" t="str">
        <f>VLOOKUP($Q$2,Form_PrimeiraFase!$C$2:$FB$69,46,FALSE)</f>
        <v>Newcastle</v>
      </c>
      <c r="R52" s="32" t="str">
        <f>VLOOKUP($R$2,Form_PrimeiraFase!$C$2:$FB$69,46,FALSE)</f>
        <v>Newcastle</v>
      </c>
      <c r="S52" s="32" t="str">
        <f>VLOOKUP($S$2,Form_PrimeiraFase!$C$2:$FB$69,46,FALSE)</f>
        <v>Empate</v>
      </c>
      <c r="T52" s="32" t="str">
        <f>VLOOKUP($T$2,Form_PrimeiraFase!$C$2:$FB$69,46,FALSE)</f>
        <v>Newcastle</v>
      </c>
      <c r="U52" s="32" t="str">
        <f>VLOOKUP($U$2,Form_PrimeiraFase!$C$2:$FB$69,46,FALSE)</f>
        <v>Empate</v>
      </c>
      <c r="V52" s="32" t="str">
        <f>VLOOKUP($V$2,Form_PrimeiraFase!$C$2:$FB$69,46,FALSE)</f>
        <v>Benfica</v>
      </c>
      <c r="W52" s="32" t="str">
        <f>VLOOKUP($W$2,Form_PrimeiraFase!$C$2:$FB$69,46,FALSE)</f>
        <v>Newcastle</v>
      </c>
      <c r="X52" s="33">
        <f t="shared" ref="X52:Y52" si="159">COUNTIF($C52:$W52,J52)</f>
        <v>15</v>
      </c>
      <c r="Y52" s="33">
        <f t="shared" si="159"/>
        <v>15</v>
      </c>
      <c r="Z52" s="33">
        <f t="shared" si="9"/>
        <v>15</v>
      </c>
      <c r="AA52" s="33">
        <f t="shared" si="10"/>
        <v>15</v>
      </c>
      <c r="AB52" s="33">
        <f t="shared" ref="AB52:AC52" si="160">COUNTIF($C52:$W52,N52)</f>
        <v>15</v>
      </c>
      <c r="AC52" s="33">
        <f t="shared" si="160"/>
        <v>4</v>
      </c>
      <c r="AD52" s="33">
        <f t="shared" si="12"/>
        <v>15</v>
      </c>
      <c r="AE52" s="33">
        <f t="shared" si="13"/>
        <v>15</v>
      </c>
      <c r="AF52" s="33">
        <f t="shared" si="14"/>
        <v>2</v>
      </c>
      <c r="AG52" s="33">
        <f t="shared" si="15"/>
        <v>4</v>
      </c>
      <c r="AH52" s="33">
        <f t="shared" si="16"/>
        <v>15</v>
      </c>
      <c r="AI52" s="33">
        <f t="shared" si="17"/>
        <v>4</v>
      </c>
      <c r="AJ52" s="33">
        <f t="shared" si="18"/>
        <v>15</v>
      </c>
      <c r="AK52" s="33">
        <f t="shared" si="19"/>
        <v>15</v>
      </c>
      <c r="AL52" s="33">
        <f t="shared" si="20"/>
        <v>15</v>
      </c>
      <c r="AM52" s="33">
        <f t="shared" si="21"/>
        <v>15</v>
      </c>
      <c r="AN52" s="33">
        <f t="shared" si="22"/>
        <v>15</v>
      </c>
      <c r="AO52" s="33">
        <f t="shared" ref="AO52:AR52" si="161">COUNTIF($C52:$W52,T52)</f>
        <v>15</v>
      </c>
      <c r="AP52" s="33">
        <f t="shared" si="161"/>
        <v>4</v>
      </c>
      <c r="AQ52" s="33">
        <f t="shared" si="161"/>
        <v>2</v>
      </c>
      <c r="AR52" s="33">
        <f t="shared" si="161"/>
        <v>15</v>
      </c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</row>
    <row r="53" ht="10.5" customHeight="1">
      <c r="A53" s="30" t="s">
        <v>62</v>
      </c>
      <c r="B53" s="31" t="s">
        <v>58</v>
      </c>
      <c r="C53" s="32" t="str">
        <f>VLOOKUP($C$2,Form_PrimeiraFase!$C$2:$FB$69,47,FALSE)</f>
        <v>Galatasaray</v>
      </c>
      <c r="D53" s="32" t="str">
        <f>VLOOKUP($D$2,Form_PrimeiraFase!$C$2:$FB$69,47,FALSE)</f>
        <v>Galatasaray</v>
      </c>
      <c r="E53" s="32" t="str">
        <f>VLOOKUP($E$2,Form_PrimeiraFase!$C$2:$FB$69,47,FALSE)</f>
        <v>Galatasaray</v>
      </c>
      <c r="F53" s="32" t="str">
        <f>VLOOKUP($F$2,Form_PrimeiraFase!$C$2:$FB$69,47,FALSE)</f>
        <v>Galatasaray</v>
      </c>
      <c r="G53" s="32" t="str">
        <f>VLOOKUP($G$2,Form_PrimeiraFase!$C$2:$FB$69,47,FALSE)</f>
        <v>Galatasaray</v>
      </c>
      <c r="H53" s="32" t="str">
        <f>VLOOKUP($H$2,Form_PrimeiraFase!$C$2:$FB$69,47,FALSE)</f>
        <v>Galatasaray</v>
      </c>
      <c r="I53" s="32" t="str">
        <f>VLOOKUP($I$2,Form_PrimeiraFase!$C$2:$FB$69,47,FALSE)</f>
        <v>Galatasaray</v>
      </c>
      <c r="J53" s="32" t="str">
        <f>VLOOKUP($J$2,Form_PrimeiraFase!$C$2:$FB$69,47,FALSE)</f>
        <v>Galatasaray</v>
      </c>
      <c r="K53" s="32" t="str">
        <f>VLOOKUP($K$2,Form_PrimeiraFase!$C$2:$FB$69,47,FALSE)</f>
        <v>Galatasaray</v>
      </c>
      <c r="L53" s="32" t="str">
        <f>VLOOKUP($L$2,Form_PrimeiraFase!$C$2:$FB$69,47,FALSE)</f>
        <v>Galatasaray</v>
      </c>
      <c r="M53" s="32" t="str">
        <f>VLOOKUP($M$2,Form_PrimeiraFase!$C$2:$FB$69,47,FALSE)</f>
        <v>Galatasaray</v>
      </c>
      <c r="N53" s="32" t="str">
        <f>VLOOKUP($N$2,Form_PrimeiraFase!$C$2:$FB$69,47,FALSE)</f>
        <v>Galatasaray</v>
      </c>
      <c r="O53" s="32" t="str">
        <f>VLOOKUP($O$2,Form_PrimeiraFase!$C$2:$FB$69,47,FALSE)</f>
        <v>Galatasaray</v>
      </c>
      <c r="P53" s="32" t="str">
        <f>VLOOKUP($P$2,Form_PrimeiraFase!$C$2:$FB$69,47,FALSE)</f>
        <v>Galatasaray</v>
      </c>
      <c r="Q53" s="32" t="str">
        <f>VLOOKUP($Q$2,Form_PrimeiraFase!$C$2:$FB$69,47,FALSE)</f>
        <v>Galatasaray</v>
      </c>
      <c r="R53" s="32" t="str">
        <f>VLOOKUP($R$2,Form_PrimeiraFase!$C$2:$FB$69,47,FALSE)</f>
        <v>Galatasaray</v>
      </c>
      <c r="S53" s="32" t="str">
        <f>VLOOKUP($S$2,Form_PrimeiraFase!$C$2:$FB$69,47,FALSE)</f>
        <v>Galatasaray</v>
      </c>
      <c r="T53" s="32" t="str">
        <f>VLOOKUP($T$2,Form_PrimeiraFase!$C$2:$FB$69,47,FALSE)</f>
        <v>Galatasaray</v>
      </c>
      <c r="U53" s="32" t="str">
        <f>VLOOKUP($U$2,Form_PrimeiraFase!$C$2:$FB$69,47,FALSE)</f>
        <v>Empate</v>
      </c>
      <c r="V53" s="32" t="str">
        <f>VLOOKUP($V$2,Form_PrimeiraFase!$C$2:$FB$69,47,FALSE)</f>
        <v>Empate</v>
      </c>
      <c r="W53" s="32" t="str">
        <f>VLOOKUP($W$2,Form_PrimeiraFase!$C$2:$FB$69,47,FALSE)</f>
        <v>Galatasaray</v>
      </c>
      <c r="X53" s="33">
        <f t="shared" ref="X53:Y53" si="162">COUNTIF($C53:$W53,J53)</f>
        <v>19</v>
      </c>
      <c r="Y53" s="33">
        <f t="shared" si="162"/>
        <v>19</v>
      </c>
      <c r="Z53" s="33">
        <f t="shared" si="9"/>
        <v>19</v>
      </c>
      <c r="AA53" s="33">
        <f t="shared" si="10"/>
        <v>19</v>
      </c>
      <c r="AB53" s="33">
        <f t="shared" ref="AB53:AC53" si="163">COUNTIF($C53:$W53,N53)</f>
        <v>19</v>
      </c>
      <c r="AC53" s="33">
        <f t="shared" si="163"/>
        <v>19</v>
      </c>
      <c r="AD53" s="33">
        <f t="shared" si="12"/>
        <v>19</v>
      </c>
      <c r="AE53" s="33">
        <f t="shared" si="13"/>
        <v>19</v>
      </c>
      <c r="AF53" s="33">
        <f t="shared" si="14"/>
        <v>19</v>
      </c>
      <c r="AG53" s="33">
        <f t="shared" si="15"/>
        <v>19</v>
      </c>
      <c r="AH53" s="33">
        <f t="shared" si="16"/>
        <v>19</v>
      </c>
      <c r="AI53" s="33">
        <f t="shared" si="17"/>
        <v>19</v>
      </c>
      <c r="AJ53" s="33">
        <f t="shared" si="18"/>
        <v>19</v>
      </c>
      <c r="AK53" s="33">
        <f t="shared" si="19"/>
        <v>19</v>
      </c>
      <c r="AL53" s="33">
        <f t="shared" si="20"/>
        <v>19</v>
      </c>
      <c r="AM53" s="33">
        <f t="shared" si="21"/>
        <v>19</v>
      </c>
      <c r="AN53" s="33">
        <f t="shared" si="22"/>
        <v>19</v>
      </c>
      <c r="AO53" s="33">
        <f t="shared" ref="AO53:AR53" si="164">COUNTIF($C53:$W53,T53)</f>
        <v>19</v>
      </c>
      <c r="AP53" s="33">
        <f t="shared" si="164"/>
        <v>2</v>
      </c>
      <c r="AQ53" s="33">
        <f t="shared" si="164"/>
        <v>2</v>
      </c>
      <c r="AR53" s="33">
        <f t="shared" si="164"/>
        <v>19</v>
      </c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</row>
    <row r="54" ht="10.5" customHeight="1">
      <c r="A54" s="30" t="s">
        <v>62</v>
      </c>
      <c r="B54" s="31" t="s">
        <v>64</v>
      </c>
      <c r="C54" s="32" t="str">
        <f>VLOOKUP($C$2,Form_PrimeiraFase!$C$2:$FB$69,48,FALSE)</f>
        <v>Athletic Bilbao</v>
      </c>
      <c r="D54" s="32" t="str">
        <f>VLOOKUP($D$2,Form_PrimeiraFase!$C$2:$FB$69,48,FALSE)</f>
        <v>Athletic Bilbao</v>
      </c>
      <c r="E54" s="32" t="str">
        <f>VLOOKUP($E$2,Form_PrimeiraFase!$C$2:$FB$69,48,FALSE)</f>
        <v>Athletic Bilbao</v>
      </c>
      <c r="F54" s="32" t="str">
        <f>VLOOKUP($F$2,Form_PrimeiraFase!$C$2:$FB$69,48,FALSE)</f>
        <v>Athletic Bilbao</v>
      </c>
      <c r="G54" s="32" t="str">
        <f>VLOOKUP($G$2,Form_PrimeiraFase!$C$2:$FB$69,48,FALSE)</f>
        <v>Athletic Bilbao</v>
      </c>
      <c r="H54" s="32" t="str">
        <f>VLOOKUP($H$2,Form_PrimeiraFase!$C$2:$FB$69,48,FALSE)</f>
        <v>Athletic Bilbao</v>
      </c>
      <c r="I54" s="32" t="str">
        <f>VLOOKUP($I$2,Form_PrimeiraFase!$C$2:$FB$69,48,FALSE)</f>
        <v>Athletic Bilbao</v>
      </c>
      <c r="J54" s="32" t="str">
        <f>VLOOKUP($J$2,Form_PrimeiraFase!$C$2:$FB$69,48,FALSE)</f>
        <v>Athletic Bilbao</v>
      </c>
      <c r="K54" s="32" t="str">
        <f>VLOOKUP($K$2,Form_PrimeiraFase!$C$2:$FB$69,48,FALSE)</f>
        <v>Athletic Bilbao</v>
      </c>
      <c r="L54" s="32" t="str">
        <f>VLOOKUP($L$2,Form_PrimeiraFase!$C$2:$FB$69,48,FALSE)</f>
        <v>Athletic Bilbao</v>
      </c>
      <c r="M54" s="32" t="str">
        <f>VLOOKUP($M$2,Form_PrimeiraFase!$C$2:$FB$69,48,FALSE)</f>
        <v>Athletic Bilbao</v>
      </c>
      <c r="N54" s="32" t="str">
        <f>VLOOKUP($N$2,Form_PrimeiraFase!$C$2:$FB$69,48,FALSE)</f>
        <v>Athletic Bilbao</v>
      </c>
      <c r="O54" s="32" t="str">
        <f>VLOOKUP($O$2,Form_PrimeiraFase!$C$2:$FB$69,48,FALSE)</f>
        <v>Athletic Bilbao</v>
      </c>
      <c r="P54" s="32" t="str">
        <f>VLOOKUP($P$2,Form_PrimeiraFase!$C$2:$FB$69,48,FALSE)</f>
        <v>Athletic Bilbao</v>
      </c>
      <c r="Q54" s="32" t="str">
        <f>VLOOKUP($Q$2,Form_PrimeiraFase!$C$2:$FB$69,48,FALSE)</f>
        <v>Athletic Bilbao</v>
      </c>
      <c r="R54" s="32" t="str">
        <f>VLOOKUP($R$2,Form_PrimeiraFase!$C$2:$FB$69,48,FALSE)</f>
        <v>Athletic Bilbao</v>
      </c>
      <c r="S54" s="32" t="str">
        <f>VLOOKUP($S$2,Form_PrimeiraFase!$C$2:$FB$69,48,FALSE)</f>
        <v>Athletic Bilbao</v>
      </c>
      <c r="T54" s="32" t="str">
        <f>VLOOKUP($T$2,Form_PrimeiraFase!$C$2:$FB$69,48,FALSE)</f>
        <v>Athletic Bilbao</v>
      </c>
      <c r="U54" s="32" t="str">
        <f>VLOOKUP($U$2,Form_PrimeiraFase!$C$2:$FB$69,48,FALSE)</f>
        <v>Athletic Bilbao</v>
      </c>
      <c r="V54" s="32" t="str">
        <f>VLOOKUP($V$2,Form_PrimeiraFase!$C$2:$FB$69,48,FALSE)</f>
        <v>Athletic Bilbao</v>
      </c>
      <c r="W54" s="32" t="str">
        <f>VLOOKUP($W$2,Form_PrimeiraFase!$C$2:$FB$69,48,FALSE)</f>
        <v>Athletic Bilbao</v>
      </c>
      <c r="X54" s="33">
        <f t="shared" ref="X54:Y54" si="165">COUNTIF($C54:$W54,J54)</f>
        <v>21</v>
      </c>
      <c r="Y54" s="33">
        <f t="shared" si="165"/>
        <v>21</v>
      </c>
      <c r="Z54" s="33">
        <f t="shared" si="9"/>
        <v>21</v>
      </c>
      <c r="AA54" s="33">
        <f t="shared" si="10"/>
        <v>21</v>
      </c>
      <c r="AB54" s="33">
        <f t="shared" ref="AB54:AC54" si="166">COUNTIF($C54:$W54,N54)</f>
        <v>21</v>
      </c>
      <c r="AC54" s="33">
        <f t="shared" si="166"/>
        <v>21</v>
      </c>
      <c r="AD54" s="33">
        <f t="shared" si="12"/>
        <v>21</v>
      </c>
      <c r="AE54" s="33">
        <f t="shared" si="13"/>
        <v>21</v>
      </c>
      <c r="AF54" s="33">
        <f t="shared" si="14"/>
        <v>21</v>
      </c>
      <c r="AG54" s="33">
        <f t="shared" si="15"/>
        <v>21</v>
      </c>
      <c r="AH54" s="33">
        <f t="shared" si="16"/>
        <v>21</v>
      </c>
      <c r="AI54" s="33">
        <f t="shared" si="17"/>
        <v>21</v>
      </c>
      <c r="AJ54" s="33">
        <f t="shared" si="18"/>
        <v>21</v>
      </c>
      <c r="AK54" s="33">
        <f t="shared" si="19"/>
        <v>21</v>
      </c>
      <c r="AL54" s="33">
        <f t="shared" si="20"/>
        <v>21</v>
      </c>
      <c r="AM54" s="33">
        <f t="shared" si="21"/>
        <v>21</v>
      </c>
      <c r="AN54" s="33">
        <f t="shared" si="22"/>
        <v>21</v>
      </c>
      <c r="AO54" s="33">
        <f t="shared" ref="AO54:AR54" si="167">COUNTIF($C54:$W54,T54)</f>
        <v>21</v>
      </c>
      <c r="AP54" s="33">
        <f t="shared" si="167"/>
        <v>21</v>
      </c>
      <c r="AQ54" s="33">
        <f t="shared" si="167"/>
        <v>21</v>
      </c>
      <c r="AR54" s="33">
        <f t="shared" si="167"/>
        <v>21</v>
      </c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</row>
    <row r="55" ht="10.5" customHeight="1">
      <c r="A55" s="30" t="s">
        <v>62</v>
      </c>
      <c r="B55" s="31" t="s">
        <v>55</v>
      </c>
      <c r="C55" s="32" t="str">
        <f>VLOOKUP($C$2,Form_PrimeiraFase!$C$2:$FB$69,49,FALSE)</f>
        <v>Chelsea</v>
      </c>
      <c r="D55" s="32" t="str">
        <f>VLOOKUP($D$2,Form_PrimeiraFase!$C$2:$FB$69,49,FALSE)</f>
        <v>Chelsea</v>
      </c>
      <c r="E55" s="32" t="str">
        <f>VLOOKUP($E$2,Form_PrimeiraFase!$C$2:$FB$69,49,FALSE)</f>
        <v>Chelsea</v>
      </c>
      <c r="F55" s="32" t="str">
        <f>VLOOKUP($F$2,Form_PrimeiraFase!$C$2:$FB$69,49,FALSE)</f>
        <v>Chelsea</v>
      </c>
      <c r="G55" s="32" t="str">
        <f>VLOOKUP($G$2,Form_PrimeiraFase!$C$2:$FB$69,49,FALSE)</f>
        <v>Chelsea</v>
      </c>
      <c r="H55" s="32" t="str">
        <f>VLOOKUP($H$2,Form_PrimeiraFase!$C$2:$FB$69,49,FALSE)</f>
        <v>Chelsea</v>
      </c>
      <c r="I55" s="32" t="str">
        <f>VLOOKUP($I$2,Form_PrimeiraFase!$C$2:$FB$69,49,FALSE)</f>
        <v>Chelsea</v>
      </c>
      <c r="J55" s="32" t="str">
        <f>VLOOKUP($J$2,Form_PrimeiraFase!$C$2:$FB$69,49,FALSE)</f>
        <v>Chelsea</v>
      </c>
      <c r="K55" s="32" t="str">
        <f>VLOOKUP($K$2,Form_PrimeiraFase!$C$2:$FB$69,49,FALSE)</f>
        <v>Chelsea</v>
      </c>
      <c r="L55" s="32" t="str">
        <f>VLOOKUP($L$2,Form_PrimeiraFase!$C$2:$FB$69,49,FALSE)</f>
        <v>Chelsea</v>
      </c>
      <c r="M55" s="32" t="str">
        <f>VLOOKUP($M$2,Form_PrimeiraFase!$C$2:$FB$69,49,FALSE)</f>
        <v>Chelsea</v>
      </c>
      <c r="N55" s="32" t="str">
        <f>VLOOKUP($N$2,Form_PrimeiraFase!$C$2:$FB$69,49,FALSE)</f>
        <v>Chelsea</v>
      </c>
      <c r="O55" s="32" t="str">
        <f>VLOOKUP($O$2,Form_PrimeiraFase!$C$2:$FB$69,49,FALSE)</f>
        <v>Chelsea</v>
      </c>
      <c r="P55" s="32" t="str">
        <f>VLOOKUP($P$2,Form_PrimeiraFase!$C$2:$FB$69,49,FALSE)</f>
        <v>Chelsea</v>
      </c>
      <c r="Q55" s="32" t="str">
        <f>VLOOKUP($Q$2,Form_PrimeiraFase!$C$2:$FB$69,49,FALSE)</f>
        <v>Chelsea</v>
      </c>
      <c r="R55" s="32" t="str">
        <f>VLOOKUP($R$2,Form_PrimeiraFase!$C$2:$FB$69,49,FALSE)</f>
        <v>Chelsea</v>
      </c>
      <c r="S55" s="32" t="str">
        <f>VLOOKUP($S$2,Form_PrimeiraFase!$C$2:$FB$69,49,FALSE)</f>
        <v>Chelsea</v>
      </c>
      <c r="T55" s="32" t="str">
        <f>VLOOKUP($T$2,Form_PrimeiraFase!$C$2:$FB$69,49,FALSE)</f>
        <v>Chelsea</v>
      </c>
      <c r="U55" s="32" t="str">
        <f>VLOOKUP($U$2,Form_PrimeiraFase!$C$2:$FB$69,49,FALSE)</f>
        <v>Chelsea</v>
      </c>
      <c r="V55" s="32" t="str">
        <f>VLOOKUP($V$2,Form_PrimeiraFase!$C$2:$FB$69,49,FALSE)</f>
        <v>Chelsea</v>
      </c>
      <c r="W55" s="32" t="str">
        <f>VLOOKUP($W$2,Form_PrimeiraFase!$C$2:$FB$69,49,FALSE)</f>
        <v>Chelsea</v>
      </c>
      <c r="X55" s="33">
        <f t="shared" ref="X55:Y55" si="168">COUNTIF($C55:$W55,J55)</f>
        <v>21</v>
      </c>
      <c r="Y55" s="33">
        <f t="shared" si="168"/>
        <v>21</v>
      </c>
      <c r="Z55" s="33">
        <f t="shared" si="9"/>
        <v>21</v>
      </c>
      <c r="AA55" s="33">
        <f t="shared" si="10"/>
        <v>21</v>
      </c>
      <c r="AB55" s="33">
        <f t="shared" ref="AB55:AC55" si="169">COUNTIF($C55:$W55,N55)</f>
        <v>21</v>
      </c>
      <c r="AC55" s="33">
        <f t="shared" si="169"/>
        <v>21</v>
      </c>
      <c r="AD55" s="33">
        <f t="shared" si="12"/>
        <v>21</v>
      </c>
      <c r="AE55" s="33">
        <f t="shared" si="13"/>
        <v>21</v>
      </c>
      <c r="AF55" s="33">
        <f t="shared" si="14"/>
        <v>21</v>
      </c>
      <c r="AG55" s="33">
        <f t="shared" si="15"/>
        <v>21</v>
      </c>
      <c r="AH55" s="33">
        <f t="shared" si="16"/>
        <v>21</v>
      </c>
      <c r="AI55" s="33">
        <f t="shared" si="17"/>
        <v>21</v>
      </c>
      <c r="AJ55" s="33">
        <f t="shared" si="18"/>
        <v>21</v>
      </c>
      <c r="AK55" s="33">
        <f t="shared" si="19"/>
        <v>21</v>
      </c>
      <c r="AL55" s="33">
        <f t="shared" si="20"/>
        <v>21</v>
      </c>
      <c r="AM55" s="33">
        <f t="shared" si="21"/>
        <v>21</v>
      </c>
      <c r="AN55" s="33">
        <f t="shared" si="22"/>
        <v>21</v>
      </c>
      <c r="AO55" s="33">
        <f t="shared" ref="AO55:AR55" si="170">COUNTIF($C55:$W55,T55)</f>
        <v>21</v>
      </c>
      <c r="AP55" s="33">
        <f t="shared" si="170"/>
        <v>21</v>
      </c>
      <c r="AQ55" s="33">
        <f t="shared" si="170"/>
        <v>21</v>
      </c>
      <c r="AR55" s="33">
        <f t="shared" si="170"/>
        <v>21</v>
      </c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</row>
    <row r="56" ht="10.5" customHeight="1">
      <c r="A56" s="30" t="s">
        <v>62</v>
      </c>
      <c r="B56" s="31" t="s">
        <v>42</v>
      </c>
      <c r="C56" s="32" t="str">
        <f>VLOOKUP($C$2,Form_PrimeiraFase!$C$2:$FB$69,50,FALSE)</f>
        <v>Atalanta</v>
      </c>
      <c r="D56" s="32" t="str">
        <f>VLOOKUP($D$2,Form_PrimeiraFase!$C$2:$FB$69,50,FALSE)</f>
        <v>Atalanta</v>
      </c>
      <c r="E56" s="32" t="str">
        <f>VLOOKUP($E$2,Form_PrimeiraFase!$C$2:$FB$69,50,FALSE)</f>
        <v>Atalanta</v>
      </c>
      <c r="F56" s="32" t="str">
        <f>VLOOKUP($F$2,Form_PrimeiraFase!$C$2:$FB$69,50,FALSE)</f>
        <v>Atalanta</v>
      </c>
      <c r="G56" s="32" t="str">
        <f>VLOOKUP($G$2,Form_PrimeiraFase!$C$2:$FB$69,50,FALSE)</f>
        <v>Atalanta</v>
      </c>
      <c r="H56" s="32" t="str">
        <f>VLOOKUP($H$2,Form_PrimeiraFase!$C$2:$FB$69,50,FALSE)</f>
        <v>Atalanta</v>
      </c>
      <c r="I56" s="32" t="str">
        <f>VLOOKUP($I$2,Form_PrimeiraFase!$C$2:$FB$69,50,FALSE)</f>
        <v>Atalanta</v>
      </c>
      <c r="J56" s="32" t="str">
        <f>VLOOKUP($J$2,Form_PrimeiraFase!$C$2:$FB$69,50,FALSE)</f>
        <v>Atalanta</v>
      </c>
      <c r="K56" s="32" t="str">
        <f>VLOOKUP($K$2,Form_PrimeiraFase!$C$2:$FB$69,50,FALSE)</f>
        <v>Atalanta</v>
      </c>
      <c r="L56" s="32" t="str">
        <f>VLOOKUP($L$2,Form_PrimeiraFase!$C$2:$FB$69,50,FALSE)</f>
        <v>Atalanta</v>
      </c>
      <c r="M56" s="32" t="str">
        <f>VLOOKUP($M$2,Form_PrimeiraFase!$C$2:$FB$69,50,FALSE)</f>
        <v>Atalanta</v>
      </c>
      <c r="N56" s="32" t="str">
        <f>VLOOKUP($N$2,Form_PrimeiraFase!$C$2:$FB$69,50,FALSE)</f>
        <v>Atalanta</v>
      </c>
      <c r="O56" s="32" t="str">
        <f>VLOOKUP($O$2,Form_PrimeiraFase!$C$2:$FB$69,50,FALSE)</f>
        <v>Empate</v>
      </c>
      <c r="P56" s="32" t="str">
        <f>VLOOKUP($P$2,Form_PrimeiraFase!$C$2:$FB$69,50,FALSE)</f>
        <v>Atalanta</v>
      </c>
      <c r="Q56" s="32" t="str">
        <f>VLOOKUP($Q$2,Form_PrimeiraFase!$C$2:$FB$69,50,FALSE)</f>
        <v>Atalanta</v>
      </c>
      <c r="R56" s="32" t="str">
        <f>VLOOKUP($R$2,Form_PrimeiraFase!$C$2:$FB$69,50,FALSE)</f>
        <v>Atalanta</v>
      </c>
      <c r="S56" s="32" t="str">
        <f>VLOOKUP($S$2,Form_PrimeiraFase!$C$2:$FB$69,50,FALSE)</f>
        <v>Atalanta</v>
      </c>
      <c r="T56" s="32" t="str">
        <f>VLOOKUP($T$2,Form_PrimeiraFase!$C$2:$FB$69,50,FALSE)</f>
        <v>Atalanta</v>
      </c>
      <c r="U56" s="32" t="str">
        <f>VLOOKUP($U$2,Form_PrimeiraFase!$C$2:$FB$69,50,FALSE)</f>
        <v>Atalanta</v>
      </c>
      <c r="V56" s="32" t="str">
        <f>VLOOKUP($V$2,Form_PrimeiraFase!$C$2:$FB$69,50,FALSE)</f>
        <v>Slavia Praga</v>
      </c>
      <c r="W56" s="32" t="str">
        <f>VLOOKUP($W$2,Form_PrimeiraFase!$C$2:$FB$69,50,FALSE)</f>
        <v>Atalanta</v>
      </c>
      <c r="X56" s="33">
        <f t="shared" ref="X56:Y56" si="171">COUNTIF($C56:$W56,J56)</f>
        <v>19</v>
      </c>
      <c r="Y56" s="33">
        <f t="shared" si="171"/>
        <v>19</v>
      </c>
      <c r="Z56" s="33">
        <f t="shared" si="9"/>
        <v>19</v>
      </c>
      <c r="AA56" s="33">
        <f t="shared" si="10"/>
        <v>19</v>
      </c>
      <c r="AB56" s="33">
        <f t="shared" ref="AB56:AC56" si="172">COUNTIF($C56:$W56,N56)</f>
        <v>19</v>
      </c>
      <c r="AC56" s="33">
        <f t="shared" si="172"/>
        <v>1</v>
      </c>
      <c r="AD56" s="33">
        <f t="shared" si="12"/>
        <v>19</v>
      </c>
      <c r="AE56" s="33">
        <f t="shared" si="13"/>
        <v>19</v>
      </c>
      <c r="AF56" s="33">
        <f t="shared" si="14"/>
        <v>19</v>
      </c>
      <c r="AG56" s="33">
        <f t="shared" si="15"/>
        <v>19</v>
      </c>
      <c r="AH56" s="33">
        <f t="shared" si="16"/>
        <v>19</v>
      </c>
      <c r="AI56" s="33">
        <f t="shared" si="17"/>
        <v>19</v>
      </c>
      <c r="AJ56" s="33">
        <f t="shared" si="18"/>
        <v>19</v>
      </c>
      <c r="AK56" s="33">
        <f t="shared" si="19"/>
        <v>19</v>
      </c>
      <c r="AL56" s="33">
        <f t="shared" si="20"/>
        <v>19</v>
      </c>
      <c r="AM56" s="33">
        <f t="shared" si="21"/>
        <v>19</v>
      </c>
      <c r="AN56" s="33">
        <f t="shared" si="22"/>
        <v>19</v>
      </c>
      <c r="AO56" s="33">
        <f t="shared" ref="AO56:AR56" si="173">COUNTIF($C56:$W56,T56)</f>
        <v>19</v>
      </c>
      <c r="AP56" s="33">
        <f t="shared" si="173"/>
        <v>19</v>
      </c>
      <c r="AQ56" s="33">
        <f t="shared" si="173"/>
        <v>1</v>
      </c>
      <c r="AR56" s="33">
        <f t="shared" si="173"/>
        <v>19</v>
      </c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</row>
    <row r="57" ht="10.5" customHeight="1">
      <c r="A57" s="30" t="s">
        <v>62</v>
      </c>
      <c r="B57" s="31" t="s">
        <v>46</v>
      </c>
      <c r="C57" s="32" t="str">
        <f>VLOOKUP($C$2,Form_PrimeiraFase!$C$2:$FB$69,51,FALSE)</f>
        <v>Liverpool</v>
      </c>
      <c r="D57" s="32" t="str">
        <f>VLOOKUP($D$2,Form_PrimeiraFase!$C$2:$FB$69,51,FALSE)</f>
        <v>Empate</v>
      </c>
      <c r="E57" s="32" t="str">
        <f>VLOOKUP($E$2,Form_PrimeiraFase!$C$2:$FB$69,51,FALSE)</f>
        <v>Liverpool</v>
      </c>
      <c r="F57" s="32" t="str">
        <f>VLOOKUP($F$2,Form_PrimeiraFase!$C$2:$FB$69,51,FALSE)</f>
        <v>Liverpool</v>
      </c>
      <c r="G57" s="32" t="str">
        <f>VLOOKUP($G$2,Form_PrimeiraFase!$C$2:$FB$69,51,FALSE)</f>
        <v>Liverpool</v>
      </c>
      <c r="H57" s="32" t="str">
        <f>VLOOKUP($H$2,Form_PrimeiraFase!$C$2:$FB$69,51,FALSE)</f>
        <v>Liverpool</v>
      </c>
      <c r="I57" s="32" t="str">
        <f>VLOOKUP($I$2,Form_PrimeiraFase!$C$2:$FB$69,51,FALSE)</f>
        <v>Liverpool</v>
      </c>
      <c r="J57" s="32" t="str">
        <f>VLOOKUP($J$2,Form_PrimeiraFase!$C$2:$FB$69,51,FALSE)</f>
        <v>Liverpool</v>
      </c>
      <c r="K57" s="32" t="str">
        <f>VLOOKUP($K$2,Form_PrimeiraFase!$C$2:$FB$69,51,FALSE)</f>
        <v>Liverpool</v>
      </c>
      <c r="L57" s="32" t="str">
        <f>VLOOKUP($L$2,Form_PrimeiraFase!$C$2:$FB$69,51,FALSE)</f>
        <v>Empate</v>
      </c>
      <c r="M57" s="32" t="str">
        <f>VLOOKUP($M$2,Form_PrimeiraFase!$C$2:$FB$69,51,FALSE)</f>
        <v>Liverpool</v>
      </c>
      <c r="N57" s="32" t="str">
        <f>VLOOKUP($N$2,Form_PrimeiraFase!$C$2:$FB$69,51,FALSE)</f>
        <v>Liverpool</v>
      </c>
      <c r="O57" s="32" t="str">
        <f>VLOOKUP($O$2,Form_PrimeiraFase!$C$2:$FB$69,51,FALSE)</f>
        <v>Liverpool</v>
      </c>
      <c r="P57" s="32" t="str">
        <f>VLOOKUP($P$2,Form_PrimeiraFase!$C$2:$FB$69,51,FALSE)</f>
        <v>Liverpool</v>
      </c>
      <c r="Q57" s="32" t="str">
        <f>VLOOKUP($Q$2,Form_PrimeiraFase!$C$2:$FB$69,51,FALSE)</f>
        <v>Empate</v>
      </c>
      <c r="R57" s="32" t="str">
        <f>VLOOKUP($R$2,Form_PrimeiraFase!$C$2:$FB$69,51,FALSE)</f>
        <v>Liverpool</v>
      </c>
      <c r="S57" s="32" t="str">
        <f>VLOOKUP($S$2,Form_PrimeiraFase!$C$2:$FB$69,51,FALSE)</f>
        <v>Liverpool</v>
      </c>
      <c r="T57" s="32" t="str">
        <f>VLOOKUP($T$2,Form_PrimeiraFase!$C$2:$FB$69,51,FALSE)</f>
        <v>Eintracht Frankfurt</v>
      </c>
      <c r="U57" s="32" t="str">
        <f>VLOOKUP($U$2,Form_PrimeiraFase!$C$2:$FB$69,51,FALSE)</f>
        <v>Liverpool</v>
      </c>
      <c r="V57" s="32" t="str">
        <f>VLOOKUP($V$2,Form_PrimeiraFase!$C$2:$FB$69,51,FALSE)</f>
        <v>Liverpool</v>
      </c>
      <c r="W57" s="32" t="str">
        <f>VLOOKUP($W$2,Form_PrimeiraFase!$C$2:$FB$69,51,FALSE)</f>
        <v>Liverpool</v>
      </c>
      <c r="X57" s="33">
        <f t="shared" ref="X57:Y57" si="174">COUNTIF($C57:$W57,J57)</f>
        <v>17</v>
      </c>
      <c r="Y57" s="33">
        <f t="shared" si="174"/>
        <v>17</v>
      </c>
      <c r="Z57" s="33">
        <f t="shared" si="9"/>
        <v>17</v>
      </c>
      <c r="AA57" s="33">
        <f t="shared" si="10"/>
        <v>3</v>
      </c>
      <c r="AB57" s="33">
        <f t="shared" ref="AB57:AC57" si="175">COUNTIF($C57:$W57,N57)</f>
        <v>17</v>
      </c>
      <c r="AC57" s="33">
        <f t="shared" si="175"/>
        <v>17</v>
      </c>
      <c r="AD57" s="33">
        <f t="shared" si="12"/>
        <v>17</v>
      </c>
      <c r="AE57" s="33">
        <f t="shared" si="13"/>
        <v>17</v>
      </c>
      <c r="AF57" s="33">
        <f t="shared" si="14"/>
        <v>17</v>
      </c>
      <c r="AG57" s="33">
        <f t="shared" si="15"/>
        <v>17</v>
      </c>
      <c r="AH57" s="33">
        <f t="shared" si="16"/>
        <v>17</v>
      </c>
      <c r="AI57" s="33">
        <f t="shared" si="17"/>
        <v>17</v>
      </c>
      <c r="AJ57" s="33">
        <f t="shared" si="18"/>
        <v>17</v>
      </c>
      <c r="AK57" s="33">
        <f t="shared" si="19"/>
        <v>17</v>
      </c>
      <c r="AL57" s="33">
        <f t="shared" si="20"/>
        <v>3</v>
      </c>
      <c r="AM57" s="33">
        <f t="shared" si="21"/>
        <v>3</v>
      </c>
      <c r="AN57" s="33">
        <f t="shared" si="22"/>
        <v>17</v>
      </c>
      <c r="AO57" s="33">
        <f t="shared" ref="AO57:AR57" si="176">COUNTIF($C57:$W57,T57)</f>
        <v>1</v>
      </c>
      <c r="AP57" s="33">
        <f t="shared" si="176"/>
        <v>17</v>
      </c>
      <c r="AQ57" s="33">
        <f t="shared" si="176"/>
        <v>17</v>
      </c>
      <c r="AR57" s="33">
        <f t="shared" si="176"/>
        <v>17</v>
      </c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</row>
    <row r="58" ht="10.5" customHeight="1">
      <c r="A58" s="30" t="s">
        <v>62</v>
      </c>
      <c r="B58" s="31" t="s">
        <v>51</v>
      </c>
      <c r="C58" s="32" t="str">
        <f>VLOOKUP($C$2,Form_PrimeiraFase!$C$2:$FB$69,52,FALSE)</f>
        <v>Empate</v>
      </c>
      <c r="D58" s="32" t="str">
        <f>VLOOKUP($D$2,Form_PrimeiraFase!$C$2:$FB$69,52,FALSE)</f>
        <v>Sporting</v>
      </c>
      <c r="E58" s="32" t="str">
        <f>VLOOKUP($E$2,Form_PrimeiraFase!$C$2:$FB$69,52,FALSE)</f>
        <v>Sporting</v>
      </c>
      <c r="F58" s="32" t="str">
        <f>VLOOKUP($F$2,Form_PrimeiraFase!$C$2:$FB$69,52,FALSE)</f>
        <v>Sporting</v>
      </c>
      <c r="G58" s="32" t="str">
        <f>VLOOKUP($G$2,Form_PrimeiraFase!$C$2:$FB$69,52,FALSE)</f>
        <v>Empate</v>
      </c>
      <c r="H58" s="32" t="str">
        <f>VLOOKUP($H$2,Form_PrimeiraFase!$C$2:$FB$69,52,FALSE)</f>
        <v>Sporting</v>
      </c>
      <c r="I58" s="32" t="str">
        <f>VLOOKUP($I$2,Form_PrimeiraFase!$C$2:$FB$69,52,FALSE)</f>
        <v>Olympique de Marselha</v>
      </c>
      <c r="J58" s="32" t="str">
        <f>VLOOKUP($J$2,Form_PrimeiraFase!$C$2:$FB$69,52,FALSE)</f>
        <v>Sporting</v>
      </c>
      <c r="K58" s="32" t="str">
        <f>VLOOKUP($K$2,Form_PrimeiraFase!$C$2:$FB$69,52,FALSE)</f>
        <v>Olympique de Marselha</v>
      </c>
      <c r="L58" s="32" t="str">
        <f>VLOOKUP($L$2,Form_PrimeiraFase!$C$2:$FB$69,52,FALSE)</f>
        <v>Sporting</v>
      </c>
      <c r="M58" s="32" t="str">
        <f>VLOOKUP($M$2,Form_PrimeiraFase!$C$2:$FB$69,52,FALSE)</f>
        <v>Sporting</v>
      </c>
      <c r="N58" s="32" t="str">
        <f>VLOOKUP($N$2,Form_PrimeiraFase!$C$2:$FB$69,52,FALSE)</f>
        <v>Sporting</v>
      </c>
      <c r="O58" s="32" t="str">
        <f>VLOOKUP($O$2,Form_PrimeiraFase!$C$2:$FB$69,52,FALSE)</f>
        <v>Olympique de Marselha</v>
      </c>
      <c r="P58" s="32" t="str">
        <f>VLOOKUP($P$2,Form_PrimeiraFase!$C$2:$FB$69,52,FALSE)</f>
        <v>Empate</v>
      </c>
      <c r="Q58" s="32" t="str">
        <f>VLOOKUP($Q$2,Form_PrimeiraFase!$C$2:$FB$69,52,FALSE)</f>
        <v>Sporting</v>
      </c>
      <c r="R58" s="32" t="str">
        <f>VLOOKUP($R$2,Form_PrimeiraFase!$C$2:$FB$69,52,FALSE)</f>
        <v>Sporting</v>
      </c>
      <c r="S58" s="32" t="str">
        <f>VLOOKUP($S$2,Form_PrimeiraFase!$C$2:$FB$69,52,FALSE)</f>
        <v>Olympique de Marselha</v>
      </c>
      <c r="T58" s="32" t="str">
        <f>VLOOKUP($T$2,Form_PrimeiraFase!$C$2:$FB$69,52,FALSE)</f>
        <v>Sporting</v>
      </c>
      <c r="U58" s="32" t="str">
        <f>VLOOKUP($U$2,Form_PrimeiraFase!$C$2:$FB$69,52,FALSE)</f>
        <v>Sporting</v>
      </c>
      <c r="V58" s="32" t="str">
        <f>VLOOKUP($V$2,Form_PrimeiraFase!$C$2:$FB$69,52,FALSE)</f>
        <v>Sporting</v>
      </c>
      <c r="W58" s="32" t="str">
        <f>VLOOKUP($W$2,Form_PrimeiraFase!$C$2:$FB$69,52,FALSE)</f>
        <v>Empate</v>
      </c>
      <c r="X58" s="33">
        <f t="shared" ref="X58:Y58" si="177">COUNTIF($C58:$W58,J58)</f>
        <v>13</v>
      </c>
      <c r="Y58" s="33">
        <f t="shared" si="177"/>
        <v>4</v>
      </c>
      <c r="Z58" s="33">
        <f t="shared" si="9"/>
        <v>13</v>
      </c>
      <c r="AA58" s="33">
        <f t="shared" si="10"/>
        <v>13</v>
      </c>
      <c r="AB58" s="33">
        <f t="shared" ref="AB58:AC58" si="178">COUNTIF($C58:$W58,N58)</f>
        <v>13</v>
      </c>
      <c r="AC58" s="33">
        <f t="shared" si="178"/>
        <v>4</v>
      </c>
      <c r="AD58" s="33">
        <f t="shared" si="12"/>
        <v>4</v>
      </c>
      <c r="AE58" s="33">
        <f t="shared" si="13"/>
        <v>13</v>
      </c>
      <c r="AF58" s="33">
        <f t="shared" si="14"/>
        <v>13</v>
      </c>
      <c r="AG58" s="33">
        <f t="shared" si="15"/>
        <v>4</v>
      </c>
      <c r="AH58" s="33">
        <f t="shared" si="16"/>
        <v>4</v>
      </c>
      <c r="AI58" s="33">
        <f t="shared" si="17"/>
        <v>4</v>
      </c>
      <c r="AJ58" s="33">
        <f t="shared" si="18"/>
        <v>13</v>
      </c>
      <c r="AK58" s="33">
        <f t="shared" si="19"/>
        <v>4</v>
      </c>
      <c r="AL58" s="33">
        <f t="shared" si="20"/>
        <v>13</v>
      </c>
      <c r="AM58" s="33">
        <f t="shared" si="21"/>
        <v>13</v>
      </c>
      <c r="AN58" s="33">
        <f t="shared" si="22"/>
        <v>13</v>
      </c>
      <c r="AO58" s="33">
        <f t="shared" ref="AO58:AR58" si="179">COUNTIF($C58:$W58,T58)</f>
        <v>13</v>
      </c>
      <c r="AP58" s="33">
        <f t="shared" si="179"/>
        <v>13</v>
      </c>
      <c r="AQ58" s="33">
        <f t="shared" si="179"/>
        <v>13</v>
      </c>
      <c r="AR58" s="33">
        <f t="shared" si="179"/>
        <v>4</v>
      </c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</row>
    <row r="59" ht="10.5" customHeight="1">
      <c r="A59" s="30" t="s">
        <v>62</v>
      </c>
      <c r="B59" s="31" t="s">
        <v>42</v>
      </c>
      <c r="C59" s="32" t="str">
        <f>VLOOKUP($C$2,Form_PrimeiraFase!$C$2:$FB$69,53,FALSE)</f>
        <v>Monaco</v>
      </c>
      <c r="D59" s="32" t="str">
        <f>VLOOKUP($D$2,Form_PrimeiraFase!$C$2:$FB$69,53,FALSE)</f>
        <v>Tottenham</v>
      </c>
      <c r="E59" s="32" t="str">
        <f>VLOOKUP($E$2,Form_PrimeiraFase!$C$2:$FB$69,53,FALSE)</f>
        <v>Tottenham</v>
      </c>
      <c r="F59" s="32" t="str">
        <f>VLOOKUP($F$2,Form_PrimeiraFase!$C$2:$FB$69,53,FALSE)</f>
        <v>Tottenham</v>
      </c>
      <c r="G59" s="32" t="str">
        <f>VLOOKUP($G$2,Form_PrimeiraFase!$C$2:$FB$69,53,FALSE)</f>
        <v>Tottenham</v>
      </c>
      <c r="H59" s="32" t="str">
        <f>VLOOKUP($H$2,Form_PrimeiraFase!$C$2:$FB$69,53,FALSE)</f>
        <v>Tottenham</v>
      </c>
      <c r="I59" s="32" t="str">
        <f>VLOOKUP($I$2,Form_PrimeiraFase!$C$2:$FB$69,53,FALSE)</f>
        <v>Tottenham</v>
      </c>
      <c r="J59" s="32" t="str">
        <f>VLOOKUP($J$2,Form_PrimeiraFase!$C$2:$FB$69,53,FALSE)</f>
        <v>Monaco</v>
      </c>
      <c r="K59" s="32" t="str">
        <f>VLOOKUP($K$2,Form_PrimeiraFase!$C$2:$FB$69,53,FALSE)</f>
        <v>Tottenham</v>
      </c>
      <c r="L59" s="32" t="str">
        <f>VLOOKUP($L$2,Form_PrimeiraFase!$C$2:$FB$69,53,FALSE)</f>
        <v>Empate</v>
      </c>
      <c r="M59" s="32" t="str">
        <f>VLOOKUP($M$2,Form_PrimeiraFase!$C$2:$FB$69,53,FALSE)</f>
        <v>Monaco</v>
      </c>
      <c r="N59" s="32" t="str">
        <f>VLOOKUP($N$2,Form_PrimeiraFase!$C$2:$FB$69,53,FALSE)</f>
        <v>Tottenham</v>
      </c>
      <c r="O59" s="32" t="str">
        <f>VLOOKUP($O$2,Form_PrimeiraFase!$C$2:$FB$69,53,FALSE)</f>
        <v>Empate</v>
      </c>
      <c r="P59" s="32" t="str">
        <f>VLOOKUP($P$2,Form_PrimeiraFase!$C$2:$FB$69,53,FALSE)</f>
        <v>Tottenham</v>
      </c>
      <c r="Q59" s="32" t="str">
        <f>VLOOKUP($Q$2,Form_PrimeiraFase!$C$2:$FB$69,53,FALSE)</f>
        <v>Tottenham</v>
      </c>
      <c r="R59" s="32" t="str">
        <f>VLOOKUP($R$2,Form_PrimeiraFase!$C$2:$FB$69,53,FALSE)</f>
        <v>Tottenham</v>
      </c>
      <c r="S59" s="32" t="str">
        <f>VLOOKUP($S$2,Form_PrimeiraFase!$C$2:$FB$69,53,FALSE)</f>
        <v>Tottenham</v>
      </c>
      <c r="T59" s="32" t="str">
        <f>VLOOKUP($T$2,Form_PrimeiraFase!$C$2:$FB$69,53,FALSE)</f>
        <v>Monaco</v>
      </c>
      <c r="U59" s="32" t="str">
        <f>VLOOKUP($U$2,Form_PrimeiraFase!$C$2:$FB$69,53,FALSE)</f>
        <v>Monaco</v>
      </c>
      <c r="V59" s="32" t="str">
        <f>VLOOKUP($V$2,Form_PrimeiraFase!$C$2:$FB$69,53,FALSE)</f>
        <v>Tottenham</v>
      </c>
      <c r="W59" s="32" t="str">
        <f>VLOOKUP($W$2,Form_PrimeiraFase!$C$2:$FB$69,53,FALSE)</f>
        <v>Tottenham</v>
      </c>
      <c r="X59" s="33">
        <f t="shared" ref="X59:Y59" si="180">COUNTIF($C59:$W59,J59)</f>
        <v>5</v>
      </c>
      <c r="Y59" s="33">
        <f t="shared" si="180"/>
        <v>14</v>
      </c>
      <c r="Z59" s="33">
        <f t="shared" si="9"/>
        <v>14</v>
      </c>
      <c r="AA59" s="33">
        <f t="shared" si="10"/>
        <v>14</v>
      </c>
      <c r="AB59" s="33">
        <f t="shared" ref="AB59:AC59" si="181">COUNTIF($C59:$W59,N59)</f>
        <v>14</v>
      </c>
      <c r="AC59" s="33">
        <f t="shared" si="181"/>
        <v>2</v>
      </c>
      <c r="AD59" s="33">
        <f t="shared" si="12"/>
        <v>14</v>
      </c>
      <c r="AE59" s="33">
        <f t="shared" si="13"/>
        <v>14</v>
      </c>
      <c r="AF59" s="33">
        <f t="shared" si="14"/>
        <v>14</v>
      </c>
      <c r="AG59" s="33">
        <f t="shared" si="15"/>
        <v>14</v>
      </c>
      <c r="AH59" s="33">
        <f t="shared" si="16"/>
        <v>5</v>
      </c>
      <c r="AI59" s="33">
        <f t="shared" si="17"/>
        <v>14</v>
      </c>
      <c r="AJ59" s="33">
        <f t="shared" si="18"/>
        <v>5</v>
      </c>
      <c r="AK59" s="33">
        <f t="shared" si="19"/>
        <v>14</v>
      </c>
      <c r="AL59" s="33">
        <f t="shared" si="20"/>
        <v>14</v>
      </c>
      <c r="AM59" s="33">
        <f t="shared" si="21"/>
        <v>2</v>
      </c>
      <c r="AN59" s="33">
        <f t="shared" si="22"/>
        <v>14</v>
      </c>
      <c r="AO59" s="33">
        <f t="shared" ref="AO59:AR59" si="182">COUNTIF($C59:$W59,T59)</f>
        <v>5</v>
      </c>
      <c r="AP59" s="33">
        <f t="shared" si="182"/>
        <v>5</v>
      </c>
      <c r="AQ59" s="33">
        <f t="shared" si="182"/>
        <v>14</v>
      </c>
      <c r="AR59" s="33">
        <f t="shared" si="182"/>
        <v>14</v>
      </c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</row>
    <row r="60" ht="10.5" customHeight="1">
      <c r="A60" s="30" t="s">
        <v>62</v>
      </c>
      <c r="B60" s="31" t="s">
        <v>40</v>
      </c>
      <c r="C60" s="32" t="str">
        <f>VLOOKUP($C$2,Form_PrimeiraFase!$C$2:$FB$69,54,FALSE)</f>
        <v>Real Madrid</v>
      </c>
      <c r="D60" s="32" t="str">
        <f>VLOOKUP($D$2,Form_PrimeiraFase!$C$2:$FB$69,54,FALSE)</f>
        <v>Real Madrid</v>
      </c>
      <c r="E60" s="32" t="str">
        <f>VLOOKUP($E$2,Form_PrimeiraFase!$C$2:$FB$69,54,FALSE)</f>
        <v>Real Madrid</v>
      </c>
      <c r="F60" s="32" t="str">
        <f>VLOOKUP($F$2,Form_PrimeiraFase!$C$2:$FB$69,54,FALSE)</f>
        <v>Real Madrid</v>
      </c>
      <c r="G60" s="32" t="str">
        <f>VLOOKUP($G$2,Form_PrimeiraFase!$C$2:$FB$69,54,FALSE)</f>
        <v>Real Madrid</v>
      </c>
      <c r="H60" s="32" t="str">
        <f>VLOOKUP($H$2,Form_PrimeiraFase!$C$2:$FB$69,54,FALSE)</f>
        <v>Real Madrid</v>
      </c>
      <c r="I60" s="32" t="str">
        <f>VLOOKUP($I$2,Form_PrimeiraFase!$C$2:$FB$69,54,FALSE)</f>
        <v>Real Madrid</v>
      </c>
      <c r="J60" s="32" t="str">
        <f>VLOOKUP($J$2,Form_PrimeiraFase!$C$2:$FB$69,54,FALSE)</f>
        <v>Real Madrid</v>
      </c>
      <c r="K60" s="32" t="str">
        <f>VLOOKUP($K$2,Form_PrimeiraFase!$C$2:$FB$69,54,FALSE)</f>
        <v>Real Madrid</v>
      </c>
      <c r="L60" s="32" t="str">
        <f>VLOOKUP($L$2,Form_PrimeiraFase!$C$2:$FB$69,54,FALSE)</f>
        <v>Empate</v>
      </c>
      <c r="M60" s="32" t="str">
        <f>VLOOKUP($M$2,Form_PrimeiraFase!$C$2:$FB$69,54,FALSE)</f>
        <v>Empate</v>
      </c>
      <c r="N60" s="32" t="str">
        <f>VLOOKUP($N$2,Form_PrimeiraFase!$C$2:$FB$69,54,FALSE)</f>
        <v>Real Madrid</v>
      </c>
      <c r="O60" s="32" t="str">
        <f>VLOOKUP($O$2,Form_PrimeiraFase!$C$2:$FB$69,54,FALSE)</f>
        <v>Real Madrid</v>
      </c>
      <c r="P60" s="32" t="str">
        <f>VLOOKUP($P$2,Form_PrimeiraFase!$C$2:$FB$69,54,FALSE)</f>
        <v>Real Madrid</v>
      </c>
      <c r="Q60" s="32" t="str">
        <f>VLOOKUP($Q$2,Form_PrimeiraFase!$C$2:$FB$69,54,FALSE)</f>
        <v>Empate</v>
      </c>
      <c r="R60" s="32" t="str">
        <f>VLOOKUP($R$2,Form_PrimeiraFase!$C$2:$FB$69,54,FALSE)</f>
        <v>Real Madrid</v>
      </c>
      <c r="S60" s="32" t="str">
        <f>VLOOKUP($S$2,Form_PrimeiraFase!$C$2:$FB$69,54,FALSE)</f>
        <v>Real Madrid</v>
      </c>
      <c r="T60" s="32" t="str">
        <f>VLOOKUP($T$2,Form_PrimeiraFase!$C$2:$FB$69,54,FALSE)</f>
        <v>Real Madrid</v>
      </c>
      <c r="U60" s="32" t="str">
        <f>VLOOKUP($U$2,Form_PrimeiraFase!$C$2:$FB$69,54,FALSE)</f>
        <v>Real Madrid</v>
      </c>
      <c r="V60" s="32" t="str">
        <f>VLOOKUP($V$2,Form_PrimeiraFase!$C$2:$FB$69,54,FALSE)</f>
        <v>Real Madrid</v>
      </c>
      <c r="W60" s="32" t="str">
        <f>VLOOKUP($W$2,Form_PrimeiraFase!$C$2:$FB$69,54,FALSE)</f>
        <v>Real Madrid</v>
      </c>
      <c r="X60" s="33">
        <f t="shared" ref="X60:Y60" si="183">COUNTIF($C60:$W60,J60)</f>
        <v>18</v>
      </c>
      <c r="Y60" s="33">
        <f t="shared" si="183"/>
        <v>18</v>
      </c>
      <c r="Z60" s="33">
        <f t="shared" si="9"/>
        <v>18</v>
      </c>
      <c r="AA60" s="33">
        <f t="shared" si="10"/>
        <v>18</v>
      </c>
      <c r="AB60" s="33">
        <f t="shared" ref="AB60:AC60" si="184">COUNTIF($C60:$W60,N60)</f>
        <v>18</v>
      </c>
      <c r="AC60" s="33">
        <f t="shared" si="184"/>
        <v>18</v>
      </c>
      <c r="AD60" s="33">
        <f t="shared" si="12"/>
        <v>18</v>
      </c>
      <c r="AE60" s="33">
        <f t="shared" si="13"/>
        <v>18</v>
      </c>
      <c r="AF60" s="33">
        <f t="shared" si="14"/>
        <v>18</v>
      </c>
      <c r="AG60" s="33">
        <f t="shared" si="15"/>
        <v>18</v>
      </c>
      <c r="AH60" s="33">
        <f t="shared" si="16"/>
        <v>18</v>
      </c>
      <c r="AI60" s="33">
        <f t="shared" si="17"/>
        <v>18</v>
      </c>
      <c r="AJ60" s="33">
        <f t="shared" si="18"/>
        <v>3</v>
      </c>
      <c r="AK60" s="33">
        <f t="shared" si="19"/>
        <v>18</v>
      </c>
      <c r="AL60" s="33">
        <f t="shared" si="20"/>
        <v>3</v>
      </c>
      <c r="AM60" s="33">
        <f t="shared" si="21"/>
        <v>3</v>
      </c>
      <c r="AN60" s="33">
        <f t="shared" si="22"/>
        <v>18</v>
      </c>
      <c r="AO60" s="33">
        <f t="shared" ref="AO60:AR60" si="185">COUNTIF($C60:$W60,T60)</f>
        <v>18</v>
      </c>
      <c r="AP60" s="33">
        <f t="shared" si="185"/>
        <v>18</v>
      </c>
      <c r="AQ60" s="33">
        <f t="shared" si="185"/>
        <v>18</v>
      </c>
      <c r="AR60" s="33">
        <f t="shared" si="185"/>
        <v>18</v>
      </c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</row>
    <row r="61" ht="10.5" customHeight="1">
      <c r="A61" s="30" t="s">
        <v>62</v>
      </c>
      <c r="B61" s="31" t="s">
        <v>45</v>
      </c>
      <c r="C61" s="32" t="str">
        <f>VLOOKUP($C$2,Form_PrimeiraFase!$C$2:$FB$69,55,FALSE)</f>
        <v>Bayern de Munique</v>
      </c>
      <c r="D61" s="32" t="str">
        <f>VLOOKUP($D$2,Form_PrimeiraFase!$C$2:$FB$69,55,FALSE)</f>
        <v>Bayern de Munique</v>
      </c>
      <c r="E61" s="32" t="str">
        <f>VLOOKUP($E$2,Form_PrimeiraFase!$C$2:$FB$69,55,FALSE)</f>
        <v>Bayern de Munique</v>
      </c>
      <c r="F61" s="32" t="str">
        <f>VLOOKUP($F$2,Form_PrimeiraFase!$C$2:$FB$69,55,FALSE)</f>
        <v>Bayern de Munique</v>
      </c>
      <c r="G61" s="32" t="str">
        <f>VLOOKUP($G$2,Form_PrimeiraFase!$C$2:$FB$69,55,FALSE)</f>
        <v>Bayern de Munique</v>
      </c>
      <c r="H61" s="32" t="str">
        <f>VLOOKUP($H$2,Form_PrimeiraFase!$C$2:$FB$69,55,FALSE)</f>
        <v>Bayern de Munique</v>
      </c>
      <c r="I61" s="32" t="str">
        <f>VLOOKUP($I$2,Form_PrimeiraFase!$C$2:$FB$69,55,FALSE)</f>
        <v>Bayern de Munique</v>
      </c>
      <c r="J61" s="32" t="str">
        <f>VLOOKUP($J$2,Form_PrimeiraFase!$C$2:$FB$69,55,FALSE)</f>
        <v>Bayern de Munique</v>
      </c>
      <c r="K61" s="32" t="str">
        <f>VLOOKUP($K$2,Form_PrimeiraFase!$C$2:$FB$69,55,FALSE)</f>
        <v>Bayern de Munique</v>
      </c>
      <c r="L61" s="32" t="str">
        <f>VLOOKUP($L$2,Form_PrimeiraFase!$C$2:$FB$69,55,FALSE)</f>
        <v>Bayern de Munique</v>
      </c>
      <c r="M61" s="32" t="str">
        <f>VLOOKUP($M$2,Form_PrimeiraFase!$C$2:$FB$69,55,FALSE)</f>
        <v>Bayern de Munique</v>
      </c>
      <c r="N61" s="32" t="str">
        <f>VLOOKUP($N$2,Form_PrimeiraFase!$C$2:$FB$69,55,FALSE)</f>
        <v>Bayern de Munique</v>
      </c>
      <c r="O61" s="32" t="str">
        <f>VLOOKUP($O$2,Form_PrimeiraFase!$C$2:$FB$69,55,FALSE)</f>
        <v>Empate</v>
      </c>
      <c r="P61" s="32" t="str">
        <f>VLOOKUP($P$2,Form_PrimeiraFase!$C$2:$FB$69,55,FALSE)</f>
        <v>Bayern de Munique</v>
      </c>
      <c r="Q61" s="32" t="str">
        <f>VLOOKUP($Q$2,Form_PrimeiraFase!$C$2:$FB$69,55,FALSE)</f>
        <v>Bayern de Munique</v>
      </c>
      <c r="R61" s="32" t="str">
        <f>VLOOKUP($R$2,Form_PrimeiraFase!$C$2:$FB$69,55,FALSE)</f>
        <v>Bayern de Munique</v>
      </c>
      <c r="S61" s="32" t="str">
        <f>VLOOKUP($S$2,Form_PrimeiraFase!$C$2:$FB$69,55,FALSE)</f>
        <v>Bayern de Munique</v>
      </c>
      <c r="T61" s="32" t="str">
        <f>VLOOKUP($T$2,Form_PrimeiraFase!$C$2:$FB$69,55,FALSE)</f>
        <v>Bayern de Munique</v>
      </c>
      <c r="U61" s="32" t="str">
        <f>VLOOKUP($U$2,Form_PrimeiraFase!$C$2:$FB$69,55,FALSE)</f>
        <v>Bayern de Munique</v>
      </c>
      <c r="V61" s="32" t="str">
        <f>VLOOKUP($V$2,Form_PrimeiraFase!$C$2:$FB$69,55,FALSE)</f>
        <v>Bayern de Munique</v>
      </c>
      <c r="W61" s="32" t="str">
        <f>VLOOKUP($W$2,Form_PrimeiraFase!$C$2:$FB$69,55,FALSE)</f>
        <v>Bayern de Munique</v>
      </c>
      <c r="X61" s="33">
        <f t="shared" ref="X61:Y61" si="186">COUNTIF($C61:$W61,J61)</f>
        <v>20</v>
      </c>
      <c r="Y61" s="33">
        <f t="shared" si="186"/>
        <v>20</v>
      </c>
      <c r="Z61" s="33">
        <f t="shared" si="9"/>
        <v>20</v>
      </c>
      <c r="AA61" s="33">
        <f t="shared" si="10"/>
        <v>20</v>
      </c>
      <c r="AB61" s="33">
        <f t="shared" ref="AB61:AC61" si="187">COUNTIF($C61:$W61,N61)</f>
        <v>20</v>
      </c>
      <c r="AC61" s="33">
        <f t="shared" si="187"/>
        <v>1</v>
      </c>
      <c r="AD61" s="33">
        <f t="shared" si="12"/>
        <v>20</v>
      </c>
      <c r="AE61" s="33">
        <f t="shared" si="13"/>
        <v>20</v>
      </c>
      <c r="AF61" s="33">
        <f t="shared" si="14"/>
        <v>20</v>
      </c>
      <c r="AG61" s="33">
        <f t="shared" si="15"/>
        <v>20</v>
      </c>
      <c r="AH61" s="33">
        <f t="shared" si="16"/>
        <v>20</v>
      </c>
      <c r="AI61" s="33">
        <f t="shared" si="17"/>
        <v>20</v>
      </c>
      <c r="AJ61" s="33">
        <f t="shared" si="18"/>
        <v>20</v>
      </c>
      <c r="AK61" s="33">
        <f t="shared" si="19"/>
        <v>20</v>
      </c>
      <c r="AL61" s="33">
        <f t="shared" si="20"/>
        <v>20</v>
      </c>
      <c r="AM61" s="33">
        <f t="shared" si="21"/>
        <v>20</v>
      </c>
      <c r="AN61" s="33">
        <f t="shared" si="22"/>
        <v>20</v>
      </c>
      <c r="AO61" s="33">
        <f t="shared" ref="AO61:AR61" si="188">COUNTIF($C61:$W61,T61)</f>
        <v>20</v>
      </c>
      <c r="AP61" s="33">
        <f t="shared" si="188"/>
        <v>20</v>
      </c>
      <c r="AQ61" s="33">
        <f t="shared" si="188"/>
        <v>20</v>
      </c>
      <c r="AR61" s="33">
        <f t="shared" si="188"/>
        <v>20</v>
      </c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ht="10.5" customHeight="1">
      <c r="A62" s="30" t="s">
        <v>65</v>
      </c>
      <c r="B62" s="31" t="s">
        <v>42</v>
      </c>
      <c r="C62" s="32" t="str">
        <f>VLOOKUP($C$2,Form_PrimeiraFase!$C$2:$FB$69,56,FALSE)</f>
        <v>Napoli</v>
      </c>
      <c r="D62" s="32" t="str">
        <f>VLOOKUP($D$2,Form_PrimeiraFase!$C$2:$FB$69,56,FALSE)</f>
        <v>Napoli</v>
      </c>
      <c r="E62" s="32" t="str">
        <f>VLOOKUP($E$2,Form_PrimeiraFase!$C$2:$FB$69,56,FALSE)</f>
        <v>Napoli</v>
      </c>
      <c r="F62" s="32" t="str">
        <f>VLOOKUP($F$2,Form_PrimeiraFase!$C$2:$FB$69,56,FALSE)</f>
        <v>Napoli</v>
      </c>
      <c r="G62" s="32" t="str">
        <f>VLOOKUP($G$2,Form_PrimeiraFase!$C$2:$FB$69,56,FALSE)</f>
        <v>Napoli</v>
      </c>
      <c r="H62" s="32" t="str">
        <f>VLOOKUP($H$2,Form_PrimeiraFase!$C$2:$FB$69,56,FALSE)</f>
        <v>Napoli</v>
      </c>
      <c r="I62" s="32" t="str">
        <f>VLOOKUP($I$2,Form_PrimeiraFase!$C$2:$FB$69,56,FALSE)</f>
        <v>Napoli</v>
      </c>
      <c r="J62" s="32" t="str">
        <f>VLOOKUP($J$2,Form_PrimeiraFase!$C$2:$FB$69,56,FALSE)</f>
        <v>Napoli</v>
      </c>
      <c r="K62" s="32" t="str">
        <f>VLOOKUP($K$2,Form_PrimeiraFase!$C$2:$FB$69,56,FALSE)</f>
        <v>Napoli</v>
      </c>
      <c r="L62" s="32" t="str">
        <f>VLOOKUP($L$2,Form_PrimeiraFase!$C$2:$FB$69,56,FALSE)</f>
        <v>Napoli</v>
      </c>
      <c r="M62" s="32" t="str">
        <f>VLOOKUP($M$2,Form_PrimeiraFase!$C$2:$FB$69,56,FALSE)</f>
        <v>Napoli</v>
      </c>
      <c r="N62" s="32" t="str">
        <f>VLOOKUP($N$2,Form_PrimeiraFase!$C$2:$FB$69,56,FALSE)</f>
        <v>Napoli</v>
      </c>
      <c r="O62" s="32" t="str">
        <f>VLOOKUP($O$2,Form_PrimeiraFase!$C$2:$FB$69,56,FALSE)</f>
        <v>Napoli</v>
      </c>
      <c r="P62" s="32" t="str">
        <f>VLOOKUP($P$2,Form_PrimeiraFase!$C$2:$FB$69,56,FALSE)</f>
        <v>Napoli</v>
      </c>
      <c r="Q62" s="32" t="str">
        <f>VLOOKUP($Q$2,Form_PrimeiraFase!$C$2:$FB$69,56,FALSE)</f>
        <v>Napoli</v>
      </c>
      <c r="R62" s="32" t="str">
        <f>VLOOKUP($R$2,Form_PrimeiraFase!$C$2:$FB$69,56,FALSE)</f>
        <v>Napoli</v>
      </c>
      <c r="S62" s="32" t="str">
        <f>VLOOKUP($S$2,Form_PrimeiraFase!$C$2:$FB$69,56,FALSE)</f>
        <v>Napoli</v>
      </c>
      <c r="T62" s="32" t="str">
        <f>VLOOKUP($T$2,Form_PrimeiraFase!$C$2:$FB$69,56,FALSE)</f>
        <v>Napoli</v>
      </c>
      <c r="U62" s="32" t="str">
        <f>VLOOKUP($U$2,Form_PrimeiraFase!$C$2:$FB$69,56,FALSE)</f>
        <v>Napoli</v>
      </c>
      <c r="V62" s="32" t="str">
        <f>VLOOKUP($V$2,Form_PrimeiraFase!$C$2:$FB$69,56,FALSE)</f>
        <v>Napoli</v>
      </c>
      <c r="W62" s="32" t="str">
        <f>VLOOKUP($W$2,Form_PrimeiraFase!$C$2:$FB$69,56,FALSE)</f>
        <v>Napoli</v>
      </c>
      <c r="X62" s="33">
        <f t="shared" ref="X62:Y62" si="189">COUNTIF($C62:$W62,J62)</f>
        <v>21</v>
      </c>
      <c r="Y62" s="33">
        <f t="shared" si="189"/>
        <v>21</v>
      </c>
      <c r="Z62" s="33">
        <f t="shared" si="9"/>
        <v>21</v>
      </c>
      <c r="AA62" s="33">
        <f t="shared" si="10"/>
        <v>21</v>
      </c>
      <c r="AB62" s="33">
        <f t="shared" ref="AB62:AC62" si="190">COUNTIF($C62:$W62,N62)</f>
        <v>21</v>
      </c>
      <c r="AC62" s="33">
        <f t="shared" si="190"/>
        <v>21</v>
      </c>
      <c r="AD62" s="33">
        <f t="shared" si="12"/>
        <v>21</v>
      </c>
      <c r="AE62" s="33">
        <f t="shared" si="13"/>
        <v>21</v>
      </c>
      <c r="AF62" s="33">
        <f t="shared" si="14"/>
        <v>21</v>
      </c>
      <c r="AG62" s="33">
        <f t="shared" si="15"/>
        <v>21</v>
      </c>
      <c r="AH62" s="33">
        <f t="shared" si="16"/>
        <v>21</v>
      </c>
      <c r="AI62" s="33">
        <f t="shared" si="17"/>
        <v>21</v>
      </c>
      <c r="AJ62" s="33">
        <f t="shared" si="18"/>
        <v>21</v>
      </c>
      <c r="AK62" s="33">
        <f t="shared" si="19"/>
        <v>21</v>
      </c>
      <c r="AL62" s="33">
        <f t="shared" si="20"/>
        <v>21</v>
      </c>
      <c r="AM62" s="33">
        <f t="shared" si="21"/>
        <v>21</v>
      </c>
      <c r="AN62" s="33">
        <f t="shared" si="22"/>
        <v>21</v>
      </c>
      <c r="AO62" s="33">
        <f t="shared" ref="AO62:AR62" si="191">COUNTIF($C62:$W62,T62)</f>
        <v>21</v>
      </c>
      <c r="AP62" s="33">
        <f t="shared" si="191"/>
        <v>21</v>
      </c>
      <c r="AQ62" s="33">
        <f t="shared" si="191"/>
        <v>21</v>
      </c>
      <c r="AR62" s="33">
        <f t="shared" si="191"/>
        <v>21</v>
      </c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</row>
    <row r="63" ht="10.5" customHeight="1">
      <c r="A63" s="30" t="s">
        <v>65</v>
      </c>
      <c r="B63" s="31" t="s">
        <v>39</v>
      </c>
      <c r="C63" s="32" t="str">
        <f>VLOOKUP($C$2,Form_PrimeiraFase!$C$2:$FB$69,57,FALSE)</f>
        <v>Arsenal</v>
      </c>
      <c r="D63" s="32" t="str">
        <f>VLOOKUP($D$2,Form_PrimeiraFase!$C$2:$FB$69,57,FALSE)</f>
        <v>Arsenal</v>
      </c>
      <c r="E63" s="32" t="str">
        <f>VLOOKUP($E$2,Form_PrimeiraFase!$C$2:$FB$69,57,FALSE)</f>
        <v>Arsenal</v>
      </c>
      <c r="F63" s="32" t="str">
        <f>VLOOKUP($F$2,Form_PrimeiraFase!$C$2:$FB$69,57,FALSE)</f>
        <v>Arsenal</v>
      </c>
      <c r="G63" s="32" t="str">
        <f>VLOOKUP($G$2,Form_PrimeiraFase!$C$2:$FB$69,57,FALSE)</f>
        <v>Arsenal</v>
      </c>
      <c r="H63" s="32" t="str">
        <f>VLOOKUP($H$2,Form_PrimeiraFase!$C$2:$FB$69,57,FALSE)</f>
        <v>Arsenal</v>
      </c>
      <c r="I63" s="32" t="str">
        <f>VLOOKUP($I$2,Form_PrimeiraFase!$C$2:$FB$69,57,FALSE)</f>
        <v>Arsenal</v>
      </c>
      <c r="J63" s="32" t="str">
        <f>VLOOKUP($J$2,Form_PrimeiraFase!$C$2:$FB$69,57,FALSE)</f>
        <v>Arsenal</v>
      </c>
      <c r="K63" s="32" t="str">
        <f>VLOOKUP($K$2,Form_PrimeiraFase!$C$2:$FB$69,57,FALSE)</f>
        <v>Arsenal</v>
      </c>
      <c r="L63" s="32" t="str">
        <f>VLOOKUP($L$2,Form_PrimeiraFase!$C$2:$FB$69,57,FALSE)</f>
        <v>Arsenal</v>
      </c>
      <c r="M63" s="32" t="str">
        <f>VLOOKUP($M$2,Form_PrimeiraFase!$C$2:$FB$69,57,FALSE)</f>
        <v>Arsenal</v>
      </c>
      <c r="N63" s="32" t="str">
        <f>VLOOKUP($N$2,Form_PrimeiraFase!$C$2:$FB$69,57,FALSE)</f>
        <v>Arsenal</v>
      </c>
      <c r="O63" s="32" t="str">
        <f>VLOOKUP($O$2,Form_PrimeiraFase!$C$2:$FB$69,57,FALSE)</f>
        <v>Arsenal</v>
      </c>
      <c r="P63" s="32" t="str">
        <f>VLOOKUP($P$2,Form_PrimeiraFase!$C$2:$FB$69,57,FALSE)</f>
        <v>Arsenal</v>
      </c>
      <c r="Q63" s="32" t="str">
        <f>VLOOKUP($Q$2,Form_PrimeiraFase!$C$2:$FB$69,57,FALSE)</f>
        <v>Arsenal</v>
      </c>
      <c r="R63" s="32" t="str">
        <f>VLOOKUP($R$2,Form_PrimeiraFase!$C$2:$FB$69,57,FALSE)</f>
        <v>Arsenal</v>
      </c>
      <c r="S63" s="32" t="str">
        <f>VLOOKUP($S$2,Form_PrimeiraFase!$C$2:$FB$69,57,FALSE)</f>
        <v>Arsenal</v>
      </c>
      <c r="T63" s="32" t="str">
        <f>VLOOKUP($T$2,Form_PrimeiraFase!$C$2:$FB$69,57,FALSE)</f>
        <v>Slavia Praga</v>
      </c>
      <c r="U63" s="32" t="str">
        <f>VLOOKUP($U$2,Form_PrimeiraFase!$C$2:$FB$69,57,FALSE)</f>
        <v>Arsenal</v>
      </c>
      <c r="V63" s="32" t="str">
        <f>VLOOKUP($V$2,Form_PrimeiraFase!$C$2:$FB$69,57,FALSE)</f>
        <v>Arsenal</v>
      </c>
      <c r="W63" s="32" t="str">
        <f>VLOOKUP($W$2,Form_PrimeiraFase!$C$2:$FB$69,57,FALSE)</f>
        <v>Arsenal</v>
      </c>
      <c r="X63" s="33">
        <f t="shared" ref="X63:Y63" si="192">COUNTIF($C63:$W63,J63)</f>
        <v>20</v>
      </c>
      <c r="Y63" s="33">
        <f t="shared" si="192"/>
        <v>20</v>
      </c>
      <c r="Z63" s="33">
        <f t="shared" si="9"/>
        <v>20</v>
      </c>
      <c r="AA63" s="33">
        <f t="shared" si="10"/>
        <v>20</v>
      </c>
      <c r="AB63" s="33">
        <f t="shared" ref="AB63:AC63" si="193">COUNTIF($C63:$W63,N63)</f>
        <v>20</v>
      </c>
      <c r="AC63" s="33">
        <f t="shared" si="193"/>
        <v>20</v>
      </c>
      <c r="AD63" s="33">
        <f t="shared" si="12"/>
        <v>20</v>
      </c>
      <c r="AE63" s="33">
        <f t="shared" si="13"/>
        <v>20</v>
      </c>
      <c r="AF63" s="33">
        <f t="shared" si="14"/>
        <v>20</v>
      </c>
      <c r="AG63" s="33">
        <f t="shared" si="15"/>
        <v>20</v>
      </c>
      <c r="AH63" s="33">
        <f t="shared" si="16"/>
        <v>20</v>
      </c>
      <c r="AI63" s="33">
        <f t="shared" si="17"/>
        <v>20</v>
      </c>
      <c r="AJ63" s="33">
        <f t="shared" si="18"/>
        <v>20</v>
      </c>
      <c r="AK63" s="33">
        <f t="shared" si="19"/>
        <v>20</v>
      </c>
      <c r="AL63" s="33">
        <f t="shared" si="20"/>
        <v>20</v>
      </c>
      <c r="AM63" s="33">
        <f t="shared" si="21"/>
        <v>20</v>
      </c>
      <c r="AN63" s="33">
        <f t="shared" si="22"/>
        <v>20</v>
      </c>
      <c r="AO63" s="33">
        <f t="shared" ref="AO63:AR63" si="194">COUNTIF($C63:$W63,T63)</f>
        <v>1</v>
      </c>
      <c r="AP63" s="33">
        <f t="shared" si="194"/>
        <v>20</v>
      </c>
      <c r="AQ63" s="33">
        <f t="shared" si="194"/>
        <v>20</v>
      </c>
      <c r="AR63" s="33">
        <f t="shared" si="194"/>
        <v>20</v>
      </c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ht="10.5" customHeight="1">
      <c r="A64" s="30" t="s">
        <v>65</v>
      </c>
      <c r="B64" s="31" t="s">
        <v>45</v>
      </c>
      <c r="C64" s="32" t="str">
        <f>VLOOKUP($C$2,Form_PrimeiraFase!$C$2:$FB$69,58,FALSE)</f>
        <v>Paris Saint-Germain</v>
      </c>
      <c r="D64" s="32" t="str">
        <f>VLOOKUP($D$2,Form_PrimeiraFase!$C$2:$FB$69,58,FALSE)</f>
        <v>Paris Saint-Germain</v>
      </c>
      <c r="E64" s="32" t="str">
        <f>VLOOKUP($E$2,Form_PrimeiraFase!$C$2:$FB$69,58,FALSE)</f>
        <v>Paris Saint-Germain</v>
      </c>
      <c r="F64" s="32" t="str">
        <f>VLOOKUP($F$2,Form_PrimeiraFase!$C$2:$FB$69,58,FALSE)</f>
        <v>Paris Saint-Germain</v>
      </c>
      <c r="G64" s="32" t="str">
        <f>VLOOKUP($G$2,Form_PrimeiraFase!$C$2:$FB$69,58,FALSE)</f>
        <v>Paris Saint-Germain</v>
      </c>
      <c r="H64" s="32" t="str">
        <f>VLOOKUP($H$2,Form_PrimeiraFase!$C$2:$FB$69,58,FALSE)</f>
        <v>Bayern de Munique</v>
      </c>
      <c r="I64" s="32" t="str">
        <f>VLOOKUP($I$2,Form_PrimeiraFase!$C$2:$FB$69,58,FALSE)</f>
        <v>Paris Saint-Germain</v>
      </c>
      <c r="J64" s="32" t="str">
        <f>VLOOKUP($J$2,Form_PrimeiraFase!$C$2:$FB$69,58,FALSE)</f>
        <v>Paris Saint-Germain</v>
      </c>
      <c r="K64" s="32" t="str">
        <f>VLOOKUP($K$2,Form_PrimeiraFase!$C$2:$FB$69,58,FALSE)</f>
        <v>Paris Saint-Germain</v>
      </c>
      <c r="L64" s="32" t="str">
        <f>VLOOKUP($L$2,Form_PrimeiraFase!$C$2:$FB$69,58,FALSE)</f>
        <v>Paris Saint-Germain</v>
      </c>
      <c r="M64" s="32" t="str">
        <f>VLOOKUP($M$2,Form_PrimeiraFase!$C$2:$FB$69,58,FALSE)</f>
        <v>Paris Saint-Germain</v>
      </c>
      <c r="N64" s="32" t="str">
        <f>VLOOKUP($N$2,Form_PrimeiraFase!$C$2:$FB$69,58,FALSE)</f>
        <v>Paris Saint-Germain</v>
      </c>
      <c r="O64" s="32" t="str">
        <f>VLOOKUP($O$2,Form_PrimeiraFase!$C$2:$FB$69,58,FALSE)</f>
        <v>Empate</v>
      </c>
      <c r="P64" s="32" t="str">
        <f>VLOOKUP($P$2,Form_PrimeiraFase!$C$2:$FB$69,58,FALSE)</f>
        <v>Paris Saint-Germain</v>
      </c>
      <c r="Q64" s="32" t="str">
        <f>VLOOKUP($Q$2,Form_PrimeiraFase!$C$2:$FB$69,58,FALSE)</f>
        <v>Paris Saint-Germain</v>
      </c>
      <c r="R64" s="32" t="str">
        <f>VLOOKUP($R$2,Form_PrimeiraFase!$C$2:$FB$69,58,FALSE)</f>
        <v>Paris Saint-Germain</v>
      </c>
      <c r="S64" s="32" t="str">
        <f>VLOOKUP($S$2,Form_PrimeiraFase!$C$2:$FB$69,58,FALSE)</f>
        <v>Empate</v>
      </c>
      <c r="T64" s="32" t="str">
        <f>VLOOKUP($T$2,Form_PrimeiraFase!$C$2:$FB$69,58,FALSE)</f>
        <v>Paris Saint-Germain</v>
      </c>
      <c r="U64" s="32" t="str">
        <f>VLOOKUP($U$2,Form_PrimeiraFase!$C$2:$FB$69,58,FALSE)</f>
        <v>Bayern de Munique</v>
      </c>
      <c r="V64" s="32" t="str">
        <f>VLOOKUP($V$2,Form_PrimeiraFase!$C$2:$FB$69,58,FALSE)</f>
        <v>Paris Saint-Germain</v>
      </c>
      <c r="W64" s="32" t="str">
        <f>VLOOKUP($W$2,Form_PrimeiraFase!$C$2:$FB$69,58,FALSE)</f>
        <v>Paris Saint-Germain</v>
      </c>
      <c r="X64" s="33">
        <f t="shared" ref="X64:Y64" si="195">COUNTIF($C64:$W64,J64)</f>
        <v>17</v>
      </c>
      <c r="Y64" s="33">
        <f t="shared" si="195"/>
        <v>17</v>
      </c>
      <c r="Z64" s="33">
        <f t="shared" si="9"/>
        <v>17</v>
      </c>
      <c r="AA64" s="33">
        <f t="shared" si="10"/>
        <v>17</v>
      </c>
      <c r="AB64" s="33">
        <f t="shared" ref="AB64:AC64" si="196">COUNTIF($C64:$W64,N64)</f>
        <v>17</v>
      </c>
      <c r="AC64" s="33">
        <f t="shared" si="196"/>
        <v>2</v>
      </c>
      <c r="AD64" s="33">
        <f t="shared" si="12"/>
        <v>17</v>
      </c>
      <c r="AE64" s="33">
        <f t="shared" si="13"/>
        <v>17</v>
      </c>
      <c r="AF64" s="33">
        <f t="shared" si="14"/>
        <v>17</v>
      </c>
      <c r="AG64" s="33">
        <f t="shared" si="15"/>
        <v>2</v>
      </c>
      <c r="AH64" s="33">
        <f t="shared" si="16"/>
        <v>17</v>
      </c>
      <c r="AI64" s="33">
        <f t="shared" si="17"/>
        <v>17</v>
      </c>
      <c r="AJ64" s="33">
        <f t="shared" si="18"/>
        <v>17</v>
      </c>
      <c r="AK64" s="33">
        <f t="shared" si="19"/>
        <v>17</v>
      </c>
      <c r="AL64" s="33">
        <f t="shared" si="20"/>
        <v>17</v>
      </c>
      <c r="AM64" s="33">
        <f t="shared" si="21"/>
        <v>17</v>
      </c>
      <c r="AN64" s="33">
        <f t="shared" si="22"/>
        <v>2</v>
      </c>
      <c r="AO64" s="33">
        <f t="shared" ref="AO64:AR64" si="197">COUNTIF($C64:$W64,T64)</f>
        <v>17</v>
      </c>
      <c r="AP64" s="33">
        <f t="shared" si="197"/>
        <v>2</v>
      </c>
      <c r="AQ64" s="33">
        <f t="shared" si="197"/>
        <v>17</v>
      </c>
      <c r="AR64" s="33">
        <f t="shared" si="197"/>
        <v>17</v>
      </c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</row>
    <row r="65" ht="10.5" customHeight="1">
      <c r="A65" s="30" t="s">
        <v>65</v>
      </c>
      <c r="B65" s="31" t="s">
        <v>46</v>
      </c>
      <c r="C65" s="32" t="str">
        <f>VLOOKUP($C$2,Form_PrimeiraFase!$C$2:$FB$69,59,FALSE)</f>
        <v>Liverpool</v>
      </c>
      <c r="D65" s="32" t="str">
        <f>VLOOKUP($D$2,Form_PrimeiraFase!$C$2:$FB$69,59,FALSE)</f>
        <v>Liverpool</v>
      </c>
      <c r="E65" s="32" t="str">
        <f>VLOOKUP($E$2,Form_PrimeiraFase!$C$2:$FB$69,59,FALSE)</f>
        <v>Liverpool</v>
      </c>
      <c r="F65" s="32" t="str">
        <f>VLOOKUP($F$2,Form_PrimeiraFase!$C$2:$FB$69,59,FALSE)</f>
        <v>Empate</v>
      </c>
      <c r="G65" s="32" t="str">
        <f>VLOOKUP($G$2,Form_PrimeiraFase!$C$2:$FB$69,59,FALSE)</f>
        <v>Liverpool</v>
      </c>
      <c r="H65" s="32" t="str">
        <f>VLOOKUP($H$2,Form_PrimeiraFase!$C$2:$FB$69,59,FALSE)</f>
        <v>Real Madrid</v>
      </c>
      <c r="I65" s="32" t="str">
        <f>VLOOKUP($I$2,Form_PrimeiraFase!$C$2:$FB$69,59,FALSE)</f>
        <v>Liverpool</v>
      </c>
      <c r="J65" s="32" t="str">
        <f>VLOOKUP($J$2,Form_PrimeiraFase!$C$2:$FB$69,59,FALSE)</f>
        <v>Liverpool</v>
      </c>
      <c r="K65" s="32" t="str">
        <f>VLOOKUP($K$2,Form_PrimeiraFase!$C$2:$FB$69,59,FALSE)</f>
        <v>Liverpool</v>
      </c>
      <c r="L65" s="32" t="str">
        <f>VLOOKUP($L$2,Form_PrimeiraFase!$C$2:$FB$69,59,FALSE)</f>
        <v>Liverpool</v>
      </c>
      <c r="M65" s="32" t="str">
        <f>VLOOKUP($M$2,Form_PrimeiraFase!$C$2:$FB$69,59,FALSE)</f>
        <v>Liverpool</v>
      </c>
      <c r="N65" s="32" t="str">
        <f>VLOOKUP($N$2,Form_PrimeiraFase!$C$2:$FB$69,59,FALSE)</f>
        <v>Liverpool</v>
      </c>
      <c r="O65" s="32" t="str">
        <f>VLOOKUP($O$2,Form_PrimeiraFase!$C$2:$FB$69,59,FALSE)</f>
        <v>Liverpool</v>
      </c>
      <c r="P65" s="32" t="str">
        <f>VLOOKUP($P$2,Form_PrimeiraFase!$C$2:$FB$69,59,FALSE)</f>
        <v>Liverpool</v>
      </c>
      <c r="Q65" s="32" t="str">
        <f>VLOOKUP($Q$2,Form_PrimeiraFase!$C$2:$FB$69,59,FALSE)</f>
        <v>Liverpool</v>
      </c>
      <c r="R65" s="32" t="str">
        <f>VLOOKUP($R$2,Form_PrimeiraFase!$C$2:$FB$69,59,FALSE)</f>
        <v>Liverpool</v>
      </c>
      <c r="S65" s="32" t="str">
        <f>VLOOKUP($S$2,Form_PrimeiraFase!$C$2:$FB$69,59,FALSE)</f>
        <v>Liverpool</v>
      </c>
      <c r="T65" s="32" t="str">
        <f>VLOOKUP($T$2,Form_PrimeiraFase!$C$2:$FB$69,59,FALSE)</f>
        <v>Empate</v>
      </c>
      <c r="U65" s="32" t="str">
        <f>VLOOKUP($U$2,Form_PrimeiraFase!$C$2:$FB$69,59,FALSE)</f>
        <v>Real Madrid</v>
      </c>
      <c r="V65" s="32" t="str">
        <f>VLOOKUP($V$2,Form_PrimeiraFase!$C$2:$FB$69,59,FALSE)</f>
        <v>Real Madrid</v>
      </c>
      <c r="W65" s="32" t="str">
        <f>VLOOKUP($W$2,Form_PrimeiraFase!$C$2:$FB$69,59,FALSE)</f>
        <v>Empate</v>
      </c>
      <c r="X65" s="33">
        <f t="shared" ref="X65:Y65" si="198">COUNTIF($C65:$W65,J65)</f>
        <v>15</v>
      </c>
      <c r="Y65" s="33">
        <f t="shared" si="198"/>
        <v>15</v>
      </c>
      <c r="Z65" s="33">
        <f t="shared" si="9"/>
        <v>15</v>
      </c>
      <c r="AA65" s="33">
        <f t="shared" si="10"/>
        <v>15</v>
      </c>
      <c r="AB65" s="33">
        <f t="shared" ref="AB65:AC65" si="199">COUNTIF($C65:$W65,N65)</f>
        <v>15</v>
      </c>
      <c r="AC65" s="33">
        <f t="shared" si="199"/>
        <v>15</v>
      </c>
      <c r="AD65" s="33">
        <f t="shared" si="12"/>
        <v>15</v>
      </c>
      <c r="AE65" s="33">
        <f t="shared" si="13"/>
        <v>3</v>
      </c>
      <c r="AF65" s="33">
        <f t="shared" si="14"/>
        <v>15</v>
      </c>
      <c r="AG65" s="33">
        <f t="shared" si="15"/>
        <v>15</v>
      </c>
      <c r="AH65" s="33">
        <f t="shared" si="16"/>
        <v>15</v>
      </c>
      <c r="AI65" s="33">
        <f t="shared" si="17"/>
        <v>15</v>
      </c>
      <c r="AJ65" s="33">
        <f t="shared" si="18"/>
        <v>15</v>
      </c>
      <c r="AK65" s="33">
        <f t="shared" si="19"/>
        <v>15</v>
      </c>
      <c r="AL65" s="33">
        <f t="shared" si="20"/>
        <v>15</v>
      </c>
      <c r="AM65" s="33">
        <f t="shared" si="21"/>
        <v>15</v>
      </c>
      <c r="AN65" s="33">
        <f t="shared" si="22"/>
        <v>3</v>
      </c>
      <c r="AO65" s="33">
        <f t="shared" ref="AO65:AR65" si="200">COUNTIF($C65:$W65,T65)</f>
        <v>3</v>
      </c>
      <c r="AP65" s="33">
        <f t="shared" si="200"/>
        <v>3</v>
      </c>
      <c r="AQ65" s="33">
        <f t="shared" si="200"/>
        <v>3</v>
      </c>
      <c r="AR65" s="33">
        <f t="shared" si="200"/>
        <v>3</v>
      </c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</row>
    <row r="66" ht="10.5" customHeight="1">
      <c r="A66" s="30" t="s">
        <v>65</v>
      </c>
      <c r="B66" s="31" t="s">
        <v>56</v>
      </c>
      <c r="C66" s="32" t="str">
        <f>VLOOKUP($C$2,Form_PrimeiraFase!$C$2:$FB$69,60,FALSE)</f>
        <v>Atlético de Madrid</v>
      </c>
      <c r="D66" s="32" t="str">
        <f>VLOOKUP($D$2,Form_PrimeiraFase!$C$2:$FB$69,60,FALSE)</f>
        <v>Atlético de Madrid</v>
      </c>
      <c r="E66" s="32" t="str">
        <f>VLOOKUP($E$2,Form_PrimeiraFase!$C$2:$FB$69,60,FALSE)</f>
        <v>Atlético de Madrid</v>
      </c>
      <c r="F66" s="32" t="str">
        <f>VLOOKUP($F$2,Form_PrimeiraFase!$C$2:$FB$69,60,FALSE)</f>
        <v>Atlético de Madrid</v>
      </c>
      <c r="G66" s="32" t="str">
        <f>VLOOKUP($G$2,Form_PrimeiraFase!$C$2:$FB$69,60,FALSE)</f>
        <v>Atlético de Madrid</v>
      </c>
      <c r="H66" s="32" t="str">
        <f>VLOOKUP($H$2,Form_PrimeiraFase!$C$2:$FB$69,60,FALSE)</f>
        <v>Atlético de Madrid</v>
      </c>
      <c r="I66" s="32" t="str">
        <f>VLOOKUP($I$2,Form_PrimeiraFase!$C$2:$FB$69,60,FALSE)</f>
        <v>Atlético de Madrid</v>
      </c>
      <c r="J66" s="32" t="str">
        <f>VLOOKUP($J$2,Form_PrimeiraFase!$C$2:$FB$69,60,FALSE)</f>
        <v>Atlético de Madrid</v>
      </c>
      <c r="K66" s="32" t="str">
        <f>VLOOKUP($K$2,Form_PrimeiraFase!$C$2:$FB$69,60,FALSE)</f>
        <v>Atlético de Madrid</v>
      </c>
      <c r="L66" s="32" t="str">
        <f>VLOOKUP($L$2,Form_PrimeiraFase!$C$2:$FB$69,60,FALSE)</f>
        <v>Atlético de Madrid</v>
      </c>
      <c r="M66" s="32" t="str">
        <f>VLOOKUP($M$2,Form_PrimeiraFase!$C$2:$FB$69,60,FALSE)</f>
        <v>Atlético de Madrid</v>
      </c>
      <c r="N66" s="32" t="str">
        <f>VLOOKUP($N$2,Form_PrimeiraFase!$C$2:$FB$69,60,FALSE)</f>
        <v>Atlético de Madrid</v>
      </c>
      <c r="O66" s="32" t="str">
        <f>VLOOKUP($O$2,Form_PrimeiraFase!$C$2:$FB$69,60,FALSE)</f>
        <v>Atlético de Madrid</v>
      </c>
      <c r="P66" s="32" t="str">
        <f>VLOOKUP($P$2,Form_PrimeiraFase!$C$2:$FB$69,60,FALSE)</f>
        <v>Atlético de Madrid</v>
      </c>
      <c r="Q66" s="32" t="str">
        <f>VLOOKUP($Q$2,Form_PrimeiraFase!$C$2:$FB$69,60,FALSE)</f>
        <v>Atlético de Madrid</v>
      </c>
      <c r="R66" s="32" t="str">
        <f>VLOOKUP($R$2,Form_PrimeiraFase!$C$2:$FB$69,60,FALSE)</f>
        <v>Atlético de Madrid</v>
      </c>
      <c r="S66" s="32" t="str">
        <f>VLOOKUP($S$2,Form_PrimeiraFase!$C$2:$FB$69,60,FALSE)</f>
        <v>Atlético de Madrid</v>
      </c>
      <c r="T66" s="32" t="str">
        <f>VLOOKUP($T$2,Form_PrimeiraFase!$C$2:$FB$69,60,FALSE)</f>
        <v>Atlético de Madrid</v>
      </c>
      <c r="U66" s="32" t="str">
        <f>VLOOKUP($U$2,Form_PrimeiraFase!$C$2:$FB$69,60,FALSE)</f>
        <v>Atlético de Madrid</v>
      </c>
      <c r="V66" s="32" t="str">
        <f>VLOOKUP($V$2,Form_PrimeiraFase!$C$2:$FB$69,60,FALSE)</f>
        <v>Atlético de Madrid</v>
      </c>
      <c r="W66" s="32" t="str">
        <f>VLOOKUP($W$2,Form_PrimeiraFase!$C$2:$FB$69,60,FALSE)</f>
        <v>Atlético de Madrid</v>
      </c>
      <c r="X66" s="33">
        <f t="shared" ref="X66:Y66" si="201">COUNTIF($C66:$W66,J66)</f>
        <v>21</v>
      </c>
      <c r="Y66" s="33">
        <f t="shared" si="201"/>
        <v>21</v>
      </c>
      <c r="Z66" s="33">
        <f t="shared" si="9"/>
        <v>21</v>
      </c>
      <c r="AA66" s="33">
        <f t="shared" si="10"/>
        <v>21</v>
      </c>
      <c r="AB66" s="33">
        <f t="shared" ref="AB66:AC66" si="202">COUNTIF($C66:$W66,N66)</f>
        <v>21</v>
      </c>
      <c r="AC66" s="33">
        <f t="shared" si="202"/>
        <v>21</v>
      </c>
      <c r="AD66" s="33">
        <f t="shared" si="12"/>
        <v>21</v>
      </c>
      <c r="AE66" s="33">
        <f t="shared" si="13"/>
        <v>21</v>
      </c>
      <c r="AF66" s="33">
        <f t="shared" si="14"/>
        <v>21</v>
      </c>
      <c r="AG66" s="33">
        <f t="shared" si="15"/>
        <v>21</v>
      </c>
      <c r="AH66" s="33">
        <f t="shared" si="16"/>
        <v>21</v>
      </c>
      <c r="AI66" s="33">
        <f t="shared" si="17"/>
        <v>21</v>
      </c>
      <c r="AJ66" s="33">
        <f t="shared" si="18"/>
        <v>21</v>
      </c>
      <c r="AK66" s="33">
        <f t="shared" si="19"/>
        <v>21</v>
      </c>
      <c r="AL66" s="33">
        <f t="shared" si="20"/>
        <v>21</v>
      </c>
      <c r="AM66" s="33">
        <f t="shared" si="21"/>
        <v>21</v>
      </c>
      <c r="AN66" s="33">
        <f t="shared" si="22"/>
        <v>21</v>
      </c>
      <c r="AO66" s="33">
        <f t="shared" ref="AO66:AR66" si="203">COUNTIF($C66:$W66,T66)</f>
        <v>21</v>
      </c>
      <c r="AP66" s="33">
        <f t="shared" si="203"/>
        <v>21</v>
      </c>
      <c r="AQ66" s="33">
        <f t="shared" si="203"/>
        <v>21</v>
      </c>
      <c r="AR66" s="33">
        <f t="shared" si="203"/>
        <v>21</v>
      </c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ht="10.5" customHeight="1">
      <c r="A67" s="30" t="s">
        <v>65</v>
      </c>
      <c r="B67" s="31" t="s">
        <v>42</v>
      </c>
      <c r="C67" s="32" t="str">
        <f>VLOOKUP($C$2,Form_PrimeiraFase!$C$2:$FB$69,61,FALSE)</f>
        <v>Juventus</v>
      </c>
      <c r="D67" s="32" t="str">
        <f>VLOOKUP($D$2,Form_PrimeiraFase!$C$2:$FB$69,61,FALSE)</f>
        <v>Juventus</v>
      </c>
      <c r="E67" s="32" t="str">
        <f>VLOOKUP($E$2,Form_PrimeiraFase!$C$2:$FB$69,61,FALSE)</f>
        <v>Juventus</v>
      </c>
      <c r="F67" s="32" t="str">
        <f>VLOOKUP($F$2,Form_PrimeiraFase!$C$2:$FB$69,61,FALSE)</f>
        <v>Juventus</v>
      </c>
      <c r="G67" s="32" t="str">
        <f>VLOOKUP($G$2,Form_PrimeiraFase!$C$2:$FB$69,61,FALSE)</f>
        <v>Juventus</v>
      </c>
      <c r="H67" s="32" t="str">
        <f>VLOOKUP($H$2,Form_PrimeiraFase!$C$2:$FB$69,61,FALSE)</f>
        <v>Juventus</v>
      </c>
      <c r="I67" s="32" t="str">
        <f>VLOOKUP($I$2,Form_PrimeiraFase!$C$2:$FB$69,61,FALSE)</f>
        <v>Juventus</v>
      </c>
      <c r="J67" s="32" t="str">
        <f>VLOOKUP($J$2,Form_PrimeiraFase!$C$2:$FB$69,61,FALSE)</f>
        <v>Juventus</v>
      </c>
      <c r="K67" s="32" t="str">
        <f>VLOOKUP($K$2,Form_PrimeiraFase!$C$2:$FB$69,61,FALSE)</f>
        <v>Juventus</v>
      </c>
      <c r="L67" s="32" t="str">
        <f>VLOOKUP($L$2,Form_PrimeiraFase!$C$2:$FB$69,61,FALSE)</f>
        <v>Juventus</v>
      </c>
      <c r="M67" s="32" t="str">
        <f>VLOOKUP($M$2,Form_PrimeiraFase!$C$2:$FB$69,61,FALSE)</f>
        <v>Juventus</v>
      </c>
      <c r="N67" s="32" t="str">
        <f>VLOOKUP($N$2,Form_PrimeiraFase!$C$2:$FB$69,61,FALSE)</f>
        <v>Juventus</v>
      </c>
      <c r="O67" s="32" t="str">
        <f>VLOOKUP($O$2,Form_PrimeiraFase!$C$2:$FB$69,61,FALSE)</f>
        <v>Empate</v>
      </c>
      <c r="P67" s="32" t="str">
        <f>VLOOKUP($P$2,Form_PrimeiraFase!$C$2:$FB$69,61,FALSE)</f>
        <v>Juventus</v>
      </c>
      <c r="Q67" s="32" t="str">
        <f>VLOOKUP($Q$2,Form_PrimeiraFase!$C$2:$FB$69,61,FALSE)</f>
        <v>Juventus</v>
      </c>
      <c r="R67" s="32" t="str">
        <f>VLOOKUP($R$2,Form_PrimeiraFase!$C$2:$FB$69,61,FALSE)</f>
        <v>Juventus</v>
      </c>
      <c r="S67" s="32" t="str">
        <f>VLOOKUP($S$2,Form_PrimeiraFase!$C$2:$FB$69,61,FALSE)</f>
        <v>Juventus</v>
      </c>
      <c r="T67" s="32" t="str">
        <f>VLOOKUP($T$2,Form_PrimeiraFase!$C$2:$FB$69,61,FALSE)</f>
        <v>Juventus</v>
      </c>
      <c r="U67" s="32" t="str">
        <f>VLOOKUP($U$2,Form_PrimeiraFase!$C$2:$FB$69,61,FALSE)</f>
        <v>Juventus</v>
      </c>
      <c r="V67" s="32" t="str">
        <f>VLOOKUP($V$2,Form_PrimeiraFase!$C$2:$FB$69,61,FALSE)</f>
        <v>Sporting</v>
      </c>
      <c r="W67" s="32" t="str">
        <f>VLOOKUP($W$2,Form_PrimeiraFase!$C$2:$FB$69,61,FALSE)</f>
        <v>Juventus</v>
      </c>
      <c r="X67" s="33">
        <f t="shared" ref="X67:Y67" si="204">COUNTIF($C67:$W67,J67)</f>
        <v>19</v>
      </c>
      <c r="Y67" s="33">
        <f t="shared" si="204"/>
        <v>19</v>
      </c>
      <c r="Z67" s="33">
        <f t="shared" si="9"/>
        <v>19</v>
      </c>
      <c r="AA67" s="33">
        <f t="shared" si="10"/>
        <v>19</v>
      </c>
      <c r="AB67" s="33">
        <f t="shared" ref="AB67:AC67" si="205">COUNTIF($C67:$W67,N67)</f>
        <v>19</v>
      </c>
      <c r="AC67" s="33">
        <f t="shared" si="205"/>
        <v>1</v>
      </c>
      <c r="AD67" s="33">
        <f t="shared" si="12"/>
        <v>19</v>
      </c>
      <c r="AE67" s="33">
        <f t="shared" si="13"/>
        <v>19</v>
      </c>
      <c r="AF67" s="33">
        <f t="shared" si="14"/>
        <v>19</v>
      </c>
      <c r="AG67" s="33">
        <f t="shared" si="15"/>
        <v>19</v>
      </c>
      <c r="AH67" s="33">
        <f t="shared" si="16"/>
        <v>19</v>
      </c>
      <c r="AI67" s="33">
        <f t="shared" si="17"/>
        <v>19</v>
      </c>
      <c r="AJ67" s="33">
        <f t="shared" si="18"/>
        <v>19</v>
      </c>
      <c r="AK67" s="33">
        <f t="shared" si="19"/>
        <v>19</v>
      </c>
      <c r="AL67" s="33">
        <f t="shared" si="20"/>
        <v>19</v>
      </c>
      <c r="AM67" s="33">
        <f t="shared" si="21"/>
        <v>19</v>
      </c>
      <c r="AN67" s="33">
        <f t="shared" si="22"/>
        <v>19</v>
      </c>
      <c r="AO67" s="33">
        <f t="shared" ref="AO67:AR67" si="206">COUNTIF($C67:$W67,T67)</f>
        <v>19</v>
      </c>
      <c r="AP67" s="33">
        <f t="shared" si="206"/>
        <v>19</v>
      </c>
      <c r="AQ67" s="33">
        <f t="shared" si="206"/>
        <v>1</v>
      </c>
      <c r="AR67" s="33">
        <f t="shared" si="206"/>
        <v>19</v>
      </c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</row>
    <row r="68" ht="10.5" customHeight="1">
      <c r="A68" s="30" t="s">
        <v>65</v>
      </c>
      <c r="B68" s="31" t="s">
        <v>43</v>
      </c>
      <c r="C68" s="32" t="str">
        <f>VLOOKUP($C$2,Form_PrimeiraFase!$C$2:$FB$69,62,FALSE)</f>
        <v>Tottenham</v>
      </c>
      <c r="D68" s="32" t="str">
        <f>VLOOKUP($D$2,Form_PrimeiraFase!$C$2:$FB$69,62,FALSE)</f>
        <v>Tottenham</v>
      </c>
      <c r="E68" s="32" t="str">
        <f>VLOOKUP($E$2,Form_PrimeiraFase!$C$2:$FB$69,62,FALSE)</f>
        <v>Tottenham</v>
      </c>
      <c r="F68" s="32" t="str">
        <f>VLOOKUP($F$2,Form_PrimeiraFase!$C$2:$FB$69,62,FALSE)</f>
        <v>Tottenham</v>
      </c>
      <c r="G68" s="32" t="str">
        <f>VLOOKUP($G$2,Form_PrimeiraFase!$C$2:$FB$69,62,FALSE)</f>
        <v>Tottenham</v>
      </c>
      <c r="H68" s="32" t="str">
        <f>VLOOKUP($H$2,Form_PrimeiraFase!$C$2:$FB$69,62,FALSE)</f>
        <v>Tottenham</v>
      </c>
      <c r="I68" s="32" t="str">
        <f>VLOOKUP($I$2,Form_PrimeiraFase!$C$2:$FB$69,62,FALSE)</f>
        <v>Tottenham</v>
      </c>
      <c r="J68" s="32" t="str">
        <f>VLOOKUP($J$2,Form_PrimeiraFase!$C$2:$FB$69,62,FALSE)</f>
        <v>Tottenham</v>
      </c>
      <c r="K68" s="32" t="str">
        <f>VLOOKUP($K$2,Form_PrimeiraFase!$C$2:$FB$69,62,FALSE)</f>
        <v>Tottenham</v>
      </c>
      <c r="L68" s="32" t="str">
        <f>VLOOKUP($L$2,Form_PrimeiraFase!$C$2:$FB$69,62,FALSE)</f>
        <v>Tottenham</v>
      </c>
      <c r="M68" s="32" t="str">
        <f>VLOOKUP($M$2,Form_PrimeiraFase!$C$2:$FB$69,62,FALSE)</f>
        <v>Tottenham</v>
      </c>
      <c r="N68" s="32" t="str">
        <f>VLOOKUP($N$2,Form_PrimeiraFase!$C$2:$FB$69,62,FALSE)</f>
        <v>Tottenham</v>
      </c>
      <c r="O68" s="32" t="str">
        <f>VLOOKUP($O$2,Form_PrimeiraFase!$C$2:$FB$69,62,FALSE)</f>
        <v>Tottenham</v>
      </c>
      <c r="P68" s="32" t="str">
        <f>VLOOKUP($P$2,Form_PrimeiraFase!$C$2:$FB$69,62,FALSE)</f>
        <v>Tottenham</v>
      </c>
      <c r="Q68" s="32" t="str">
        <f>VLOOKUP($Q$2,Form_PrimeiraFase!$C$2:$FB$69,62,FALSE)</f>
        <v>Tottenham</v>
      </c>
      <c r="R68" s="32" t="str">
        <f>VLOOKUP($R$2,Form_PrimeiraFase!$C$2:$FB$69,62,FALSE)</f>
        <v>Tottenham</v>
      </c>
      <c r="S68" s="32" t="str">
        <f>VLOOKUP($S$2,Form_PrimeiraFase!$C$2:$FB$69,62,FALSE)</f>
        <v>Tottenham</v>
      </c>
      <c r="T68" s="32" t="str">
        <f>VLOOKUP($T$2,Form_PrimeiraFase!$C$2:$FB$69,62,FALSE)</f>
        <v>Tottenham</v>
      </c>
      <c r="U68" s="32" t="str">
        <f>VLOOKUP($U$2,Form_PrimeiraFase!$C$2:$FB$69,62,FALSE)</f>
        <v>Tottenham</v>
      </c>
      <c r="V68" s="32" t="str">
        <f>VLOOKUP($V$2,Form_PrimeiraFase!$C$2:$FB$69,62,FALSE)</f>
        <v>Tottenham</v>
      </c>
      <c r="W68" s="32" t="str">
        <f>VLOOKUP($W$2,Form_PrimeiraFase!$C$2:$FB$69,62,FALSE)</f>
        <v>Tottenham</v>
      </c>
      <c r="X68" s="33">
        <f t="shared" ref="X68:Y68" si="207">COUNTIF($C68:$W68,J68)</f>
        <v>21</v>
      </c>
      <c r="Y68" s="33">
        <f t="shared" si="207"/>
        <v>21</v>
      </c>
      <c r="Z68" s="33">
        <f t="shared" si="9"/>
        <v>21</v>
      </c>
      <c r="AA68" s="33">
        <f t="shared" si="10"/>
        <v>21</v>
      </c>
      <c r="AB68" s="33">
        <f t="shared" ref="AB68:AC68" si="208">COUNTIF($C68:$W68,N68)</f>
        <v>21</v>
      </c>
      <c r="AC68" s="33">
        <f t="shared" si="208"/>
        <v>21</v>
      </c>
      <c r="AD68" s="33">
        <f t="shared" si="12"/>
        <v>21</v>
      </c>
      <c r="AE68" s="33">
        <f t="shared" si="13"/>
        <v>21</v>
      </c>
      <c r="AF68" s="33">
        <f t="shared" si="14"/>
        <v>21</v>
      </c>
      <c r="AG68" s="33">
        <f t="shared" si="15"/>
        <v>21</v>
      </c>
      <c r="AH68" s="33">
        <f t="shared" si="16"/>
        <v>21</v>
      </c>
      <c r="AI68" s="33">
        <f t="shared" si="17"/>
        <v>21</v>
      </c>
      <c r="AJ68" s="33">
        <f t="shared" si="18"/>
        <v>21</v>
      </c>
      <c r="AK68" s="33">
        <f t="shared" si="19"/>
        <v>21</v>
      </c>
      <c r="AL68" s="33">
        <f t="shared" si="20"/>
        <v>21</v>
      </c>
      <c r="AM68" s="33">
        <f t="shared" si="21"/>
        <v>21</v>
      </c>
      <c r="AN68" s="33">
        <f t="shared" si="22"/>
        <v>21</v>
      </c>
      <c r="AO68" s="33">
        <f t="shared" ref="AO68:AR68" si="209">COUNTIF($C68:$W68,T68)</f>
        <v>21</v>
      </c>
      <c r="AP68" s="33">
        <f t="shared" si="209"/>
        <v>21</v>
      </c>
      <c r="AQ68" s="33">
        <f t="shared" si="209"/>
        <v>21</v>
      </c>
      <c r="AR68" s="33">
        <f t="shared" si="209"/>
        <v>21</v>
      </c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</row>
    <row r="69" ht="10.5" customHeight="1">
      <c r="A69" s="30" t="s">
        <v>65</v>
      </c>
      <c r="B69" s="31" t="s">
        <v>42</v>
      </c>
      <c r="C69" s="32" t="str">
        <f>VLOOKUP($C$2,Form_PrimeiraFase!$C$2:$FB$69,63,FALSE)</f>
        <v>Empate</v>
      </c>
      <c r="D69" s="32" t="str">
        <f>VLOOKUP($D$2,Form_PrimeiraFase!$C$2:$FB$69,63,FALSE)</f>
        <v>Olympiacos</v>
      </c>
      <c r="E69" s="32" t="str">
        <f>VLOOKUP($E$2,Form_PrimeiraFase!$C$2:$FB$69,63,FALSE)</f>
        <v>Olympiacos</v>
      </c>
      <c r="F69" s="32" t="str">
        <f>VLOOKUP($F$2,Form_PrimeiraFase!$C$2:$FB$69,63,FALSE)</f>
        <v>PSV Eindhoven</v>
      </c>
      <c r="G69" s="32" t="str">
        <f>VLOOKUP($G$2,Form_PrimeiraFase!$C$2:$FB$69,63,FALSE)</f>
        <v>Empate</v>
      </c>
      <c r="H69" s="32" t="str">
        <f>VLOOKUP($H$2,Form_PrimeiraFase!$C$2:$FB$69,63,FALSE)</f>
        <v>Olympiacos</v>
      </c>
      <c r="I69" s="32" t="str">
        <f>VLOOKUP($I$2,Form_PrimeiraFase!$C$2:$FB$69,63,FALSE)</f>
        <v>PSV Eindhoven</v>
      </c>
      <c r="J69" s="32" t="str">
        <f>VLOOKUP($J$2,Form_PrimeiraFase!$C$2:$FB$69,63,FALSE)</f>
        <v>Olympiacos</v>
      </c>
      <c r="K69" s="32" t="str">
        <f>VLOOKUP($K$2,Form_PrimeiraFase!$C$2:$FB$69,63,FALSE)</f>
        <v>PSV Eindhoven</v>
      </c>
      <c r="L69" s="32" t="str">
        <f>VLOOKUP($L$2,Form_PrimeiraFase!$C$2:$FB$69,63,FALSE)</f>
        <v>Empate</v>
      </c>
      <c r="M69" s="32" t="str">
        <f>VLOOKUP($M$2,Form_PrimeiraFase!$C$2:$FB$69,63,FALSE)</f>
        <v>Empate</v>
      </c>
      <c r="N69" s="32" t="str">
        <f>VLOOKUP($N$2,Form_PrimeiraFase!$C$2:$FB$69,63,FALSE)</f>
        <v>Empate</v>
      </c>
      <c r="O69" s="32" t="str">
        <f>VLOOKUP($O$2,Form_PrimeiraFase!$C$2:$FB$69,63,FALSE)</f>
        <v>PSV Eindhoven</v>
      </c>
      <c r="P69" s="32" t="str">
        <f>VLOOKUP($P$2,Form_PrimeiraFase!$C$2:$FB$69,63,FALSE)</f>
        <v>Empate</v>
      </c>
      <c r="Q69" s="32" t="str">
        <f>VLOOKUP($Q$2,Form_PrimeiraFase!$C$2:$FB$69,63,FALSE)</f>
        <v>Olympiacos</v>
      </c>
      <c r="R69" s="32" t="str">
        <f>VLOOKUP($R$2,Form_PrimeiraFase!$C$2:$FB$69,63,FALSE)</f>
        <v>PSV Eindhoven</v>
      </c>
      <c r="S69" s="32" t="str">
        <f>VLOOKUP($S$2,Form_PrimeiraFase!$C$2:$FB$69,63,FALSE)</f>
        <v>Empate</v>
      </c>
      <c r="T69" s="32" t="str">
        <f>VLOOKUP($T$2,Form_PrimeiraFase!$C$2:$FB$69,63,FALSE)</f>
        <v>Olympiacos</v>
      </c>
      <c r="U69" s="32" t="str">
        <f>VLOOKUP($U$2,Form_PrimeiraFase!$C$2:$FB$69,63,FALSE)</f>
        <v>PSV Eindhoven</v>
      </c>
      <c r="V69" s="32" t="str">
        <f>VLOOKUP($V$2,Form_PrimeiraFase!$C$2:$FB$69,63,FALSE)</f>
        <v>Olympiacos</v>
      </c>
      <c r="W69" s="32" t="str">
        <f>VLOOKUP($W$2,Form_PrimeiraFase!$C$2:$FB$69,63,FALSE)</f>
        <v>Empate</v>
      </c>
      <c r="X69" s="33">
        <f t="shared" ref="X69:Y69" si="210">COUNTIF($C69:$W69,J69)</f>
        <v>7</v>
      </c>
      <c r="Y69" s="33">
        <f t="shared" si="210"/>
        <v>6</v>
      </c>
      <c r="Z69" s="33">
        <f t="shared" si="9"/>
        <v>6</v>
      </c>
      <c r="AA69" s="33">
        <f t="shared" si="10"/>
        <v>7</v>
      </c>
      <c r="AB69" s="33">
        <f t="shared" ref="AB69:AC69" si="211">COUNTIF($C69:$W69,N69)</f>
        <v>8</v>
      </c>
      <c r="AC69" s="33">
        <f t="shared" si="211"/>
        <v>6</v>
      </c>
      <c r="AD69" s="33">
        <f t="shared" si="12"/>
        <v>8</v>
      </c>
      <c r="AE69" s="33">
        <f t="shared" si="13"/>
        <v>6</v>
      </c>
      <c r="AF69" s="33">
        <f t="shared" si="14"/>
        <v>7</v>
      </c>
      <c r="AG69" s="33">
        <f t="shared" si="15"/>
        <v>8</v>
      </c>
      <c r="AH69" s="33">
        <f t="shared" si="16"/>
        <v>8</v>
      </c>
      <c r="AI69" s="33">
        <f t="shared" si="17"/>
        <v>8</v>
      </c>
      <c r="AJ69" s="33">
        <f t="shared" si="18"/>
        <v>8</v>
      </c>
      <c r="AK69" s="33">
        <f t="shared" si="19"/>
        <v>6</v>
      </c>
      <c r="AL69" s="33">
        <f t="shared" si="20"/>
        <v>7</v>
      </c>
      <c r="AM69" s="33">
        <f t="shared" si="21"/>
        <v>8</v>
      </c>
      <c r="AN69" s="33">
        <f t="shared" si="22"/>
        <v>7</v>
      </c>
      <c r="AO69" s="33">
        <f t="shared" ref="AO69:AR69" si="212">COUNTIF($C69:$W69,T69)</f>
        <v>7</v>
      </c>
      <c r="AP69" s="33">
        <f t="shared" si="212"/>
        <v>6</v>
      </c>
      <c r="AQ69" s="33">
        <f t="shared" si="212"/>
        <v>7</v>
      </c>
      <c r="AR69" s="33">
        <f t="shared" si="212"/>
        <v>8</v>
      </c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</row>
    <row r="70" ht="10.5" customHeight="1">
      <c r="A70" s="30" t="s">
        <v>65</v>
      </c>
      <c r="B70" s="31" t="s">
        <v>66</v>
      </c>
      <c r="C70" s="32" t="str">
        <f>VLOOKUP($C$2,Form_PrimeiraFase!$C$2:$FB$69,64,FALSE)</f>
        <v>Empate</v>
      </c>
      <c r="D70" s="32" t="str">
        <f>VLOOKUP($D$2,Form_PrimeiraFase!$C$2:$FB$69,64,FALSE)</f>
        <v>Monaco</v>
      </c>
      <c r="E70" s="32" t="str">
        <f>VLOOKUP($E$2,Form_PrimeiraFase!$C$2:$FB$69,64,FALSE)</f>
        <v>Monaco</v>
      </c>
      <c r="F70" s="32" t="str">
        <f>VLOOKUP($F$2,Form_PrimeiraFase!$C$2:$FB$69,64,FALSE)</f>
        <v>Monaco</v>
      </c>
      <c r="G70" s="32" t="str">
        <f>VLOOKUP($G$2,Form_PrimeiraFase!$C$2:$FB$69,64,FALSE)</f>
        <v>Empate</v>
      </c>
      <c r="H70" s="32" t="str">
        <f>VLOOKUP($H$2,Form_PrimeiraFase!$C$2:$FB$69,64,FALSE)</f>
        <v>Monaco</v>
      </c>
      <c r="I70" s="32" t="str">
        <f>VLOOKUP($I$2,Form_PrimeiraFase!$C$2:$FB$69,64,FALSE)</f>
        <v>Monaco</v>
      </c>
      <c r="J70" s="32" t="str">
        <f>VLOOKUP($J$2,Form_PrimeiraFase!$C$2:$FB$69,64,FALSE)</f>
        <v>Monaco</v>
      </c>
      <c r="K70" s="32" t="str">
        <f>VLOOKUP($K$2,Form_PrimeiraFase!$C$2:$FB$69,64,FALSE)</f>
        <v>Monaco</v>
      </c>
      <c r="L70" s="32" t="str">
        <f>VLOOKUP($L$2,Form_PrimeiraFase!$C$2:$FB$69,64,FALSE)</f>
        <v>Empate</v>
      </c>
      <c r="M70" s="32" t="str">
        <f>VLOOKUP($M$2,Form_PrimeiraFase!$C$2:$FB$69,64,FALSE)</f>
        <v>Monaco</v>
      </c>
      <c r="N70" s="32" t="str">
        <f>VLOOKUP($N$2,Form_PrimeiraFase!$C$2:$FB$69,64,FALSE)</f>
        <v>Monaco</v>
      </c>
      <c r="O70" s="32" t="str">
        <f>VLOOKUP($O$2,Form_PrimeiraFase!$C$2:$FB$69,64,FALSE)</f>
        <v>Empate</v>
      </c>
      <c r="P70" s="32" t="str">
        <f>VLOOKUP($P$2,Form_PrimeiraFase!$C$2:$FB$69,64,FALSE)</f>
        <v>Monaco</v>
      </c>
      <c r="Q70" s="32" t="str">
        <f>VLOOKUP($Q$2,Form_PrimeiraFase!$C$2:$FB$69,64,FALSE)</f>
        <v>Empate</v>
      </c>
      <c r="R70" s="32" t="str">
        <f>VLOOKUP($R$2,Form_PrimeiraFase!$C$2:$FB$69,64,FALSE)</f>
        <v>Monaco</v>
      </c>
      <c r="S70" s="32" t="str">
        <f>VLOOKUP($S$2,Form_PrimeiraFase!$C$2:$FB$69,64,FALSE)</f>
        <v>Empate</v>
      </c>
      <c r="T70" s="32" t="str">
        <f>VLOOKUP($T$2,Form_PrimeiraFase!$C$2:$FB$69,64,FALSE)</f>
        <v>Empate</v>
      </c>
      <c r="U70" s="32" t="str">
        <f>VLOOKUP($U$2,Form_PrimeiraFase!$C$2:$FB$69,64,FALSE)</f>
        <v>Empate</v>
      </c>
      <c r="V70" s="32" t="str">
        <f>VLOOKUP($V$2,Form_PrimeiraFase!$C$2:$FB$69,64,FALSE)</f>
        <v>Monaco</v>
      </c>
      <c r="W70" s="32" t="str">
        <f>VLOOKUP($W$2,Form_PrimeiraFase!$C$2:$FB$69,64,FALSE)</f>
        <v>Monaco</v>
      </c>
      <c r="X70" s="33">
        <f t="shared" ref="X70:Y70" si="213">COUNTIF($C70:$W70,J70)</f>
        <v>13</v>
      </c>
      <c r="Y70" s="33">
        <f t="shared" si="213"/>
        <v>13</v>
      </c>
      <c r="Z70" s="33">
        <f t="shared" si="9"/>
        <v>13</v>
      </c>
      <c r="AA70" s="33">
        <f t="shared" si="10"/>
        <v>13</v>
      </c>
      <c r="AB70" s="33">
        <f t="shared" ref="AB70:AC70" si="214">COUNTIF($C70:$W70,N70)</f>
        <v>13</v>
      </c>
      <c r="AC70" s="33">
        <f t="shared" si="214"/>
        <v>8</v>
      </c>
      <c r="AD70" s="33">
        <f t="shared" si="12"/>
        <v>8</v>
      </c>
      <c r="AE70" s="33">
        <f t="shared" si="13"/>
        <v>13</v>
      </c>
      <c r="AF70" s="33">
        <f t="shared" si="14"/>
        <v>13</v>
      </c>
      <c r="AG70" s="33">
        <f t="shared" si="15"/>
        <v>8</v>
      </c>
      <c r="AH70" s="33">
        <f t="shared" si="16"/>
        <v>8</v>
      </c>
      <c r="AI70" s="33">
        <f t="shared" si="17"/>
        <v>13</v>
      </c>
      <c r="AJ70" s="33">
        <f t="shared" si="18"/>
        <v>13</v>
      </c>
      <c r="AK70" s="33">
        <f t="shared" si="19"/>
        <v>13</v>
      </c>
      <c r="AL70" s="33">
        <f t="shared" si="20"/>
        <v>8</v>
      </c>
      <c r="AM70" s="33">
        <f t="shared" si="21"/>
        <v>8</v>
      </c>
      <c r="AN70" s="33">
        <f t="shared" si="22"/>
        <v>13</v>
      </c>
      <c r="AO70" s="33">
        <f t="shared" ref="AO70:AR70" si="215">COUNTIF($C70:$W70,T70)</f>
        <v>8</v>
      </c>
      <c r="AP70" s="33">
        <f t="shared" si="215"/>
        <v>8</v>
      </c>
      <c r="AQ70" s="33">
        <f t="shared" si="215"/>
        <v>13</v>
      </c>
      <c r="AR70" s="33">
        <f t="shared" si="215"/>
        <v>13</v>
      </c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</row>
    <row r="71" ht="10.5" customHeight="1">
      <c r="A71" s="30" t="s">
        <v>65</v>
      </c>
      <c r="B71" s="31" t="s">
        <v>42</v>
      </c>
      <c r="C71" s="32" t="str">
        <f>VLOOKUP($C$2,Form_PrimeiraFase!$C$2:$FB$69,65,FALSE)</f>
        <v>Chelsea</v>
      </c>
      <c r="D71" s="32" t="str">
        <f>VLOOKUP($D$2,Form_PrimeiraFase!$C$2:$FB$69,65,FALSE)</f>
        <v>Chelsea</v>
      </c>
      <c r="E71" s="32" t="str">
        <f>VLOOKUP($E$2,Form_PrimeiraFase!$C$2:$FB$69,65,FALSE)</f>
        <v>Chelsea</v>
      </c>
      <c r="F71" s="32" t="str">
        <f>VLOOKUP($F$2,Form_PrimeiraFase!$C$2:$FB$69,65,FALSE)</f>
        <v>Chelsea</v>
      </c>
      <c r="G71" s="32" t="str">
        <f>VLOOKUP($G$2,Form_PrimeiraFase!$C$2:$FB$69,65,FALSE)</f>
        <v>Chelsea</v>
      </c>
      <c r="H71" s="32" t="str">
        <f>VLOOKUP($H$2,Form_PrimeiraFase!$C$2:$FB$69,65,FALSE)</f>
        <v>Chelsea</v>
      </c>
      <c r="I71" s="32" t="str">
        <f>VLOOKUP($I$2,Form_PrimeiraFase!$C$2:$FB$69,65,FALSE)</f>
        <v>Chelsea</v>
      </c>
      <c r="J71" s="32" t="str">
        <f>VLOOKUP($J$2,Form_PrimeiraFase!$C$2:$FB$69,65,FALSE)</f>
        <v>Chelsea</v>
      </c>
      <c r="K71" s="32" t="str">
        <f>VLOOKUP($K$2,Form_PrimeiraFase!$C$2:$FB$69,65,FALSE)</f>
        <v>Chelsea</v>
      </c>
      <c r="L71" s="32" t="str">
        <f>VLOOKUP($L$2,Form_PrimeiraFase!$C$2:$FB$69,65,FALSE)</f>
        <v>Chelsea</v>
      </c>
      <c r="M71" s="32" t="str">
        <f>VLOOKUP($M$2,Form_PrimeiraFase!$C$2:$FB$69,65,FALSE)</f>
        <v>Chelsea</v>
      </c>
      <c r="N71" s="32" t="str">
        <f>VLOOKUP($N$2,Form_PrimeiraFase!$C$2:$FB$69,65,FALSE)</f>
        <v>Chelsea</v>
      </c>
      <c r="O71" s="32" t="str">
        <f>VLOOKUP($O$2,Form_PrimeiraFase!$C$2:$FB$69,65,FALSE)</f>
        <v>Chelsea</v>
      </c>
      <c r="P71" s="32" t="str">
        <f>VLOOKUP($P$2,Form_PrimeiraFase!$C$2:$FB$69,65,FALSE)</f>
        <v>Chelsea</v>
      </c>
      <c r="Q71" s="32" t="str">
        <f>VLOOKUP($Q$2,Form_PrimeiraFase!$C$2:$FB$69,65,FALSE)</f>
        <v>Chelsea</v>
      </c>
      <c r="R71" s="32" t="str">
        <f>VLOOKUP($R$2,Form_PrimeiraFase!$C$2:$FB$69,65,FALSE)</f>
        <v>Chelsea</v>
      </c>
      <c r="S71" s="32" t="str">
        <f>VLOOKUP($S$2,Form_PrimeiraFase!$C$2:$FB$69,65,FALSE)</f>
        <v>Chelsea</v>
      </c>
      <c r="T71" s="32" t="str">
        <f>VLOOKUP($T$2,Form_PrimeiraFase!$C$2:$FB$69,65,FALSE)</f>
        <v>Empate</v>
      </c>
      <c r="U71" s="32" t="str">
        <f>VLOOKUP($U$2,Form_PrimeiraFase!$C$2:$FB$69,65,FALSE)</f>
        <v>Chelsea</v>
      </c>
      <c r="V71" s="32" t="str">
        <f>VLOOKUP($V$2,Form_PrimeiraFase!$C$2:$FB$69,65,FALSE)</f>
        <v>Chelsea</v>
      </c>
      <c r="W71" s="32" t="str">
        <f>VLOOKUP($W$2,Form_PrimeiraFase!$C$2:$FB$69,65,FALSE)</f>
        <v>Chelsea</v>
      </c>
      <c r="X71" s="33">
        <f t="shared" ref="X71:Y71" si="216">COUNTIF($C71:$W71,J71)</f>
        <v>20</v>
      </c>
      <c r="Y71" s="33">
        <f t="shared" si="216"/>
        <v>20</v>
      </c>
      <c r="Z71" s="33">
        <f t="shared" si="9"/>
        <v>20</v>
      </c>
      <c r="AA71" s="33">
        <f t="shared" si="10"/>
        <v>20</v>
      </c>
      <c r="AB71" s="33">
        <f t="shared" ref="AB71:AC71" si="217">COUNTIF($C71:$W71,N71)</f>
        <v>20</v>
      </c>
      <c r="AC71" s="33">
        <f t="shared" si="217"/>
        <v>20</v>
      </c>
      <c r="AD71" s="33">
        <f t="shared" si="12"/>
        <v>20</v>
      </c>
      <c r="AE71" s="33">
        <f t="shared" si="13"/>
        <v>20</v>
      </c>
      <c r="AF71" s="33">
        <f t="shared" si="14"/>
        <v>20</v>
      </c>
      <c r="AG71" s="33">
        <f t="shared" si="15"/>
        <v>20</v>
      </c>
      <c r="AH71" s="33">
        <f t="shared" si="16"/>
        <v>20</v>
      </c>
      <c r="AI71" s="33">
        <f t="shared" si="17"/>
        <v>20</v>
      </c>
      <c r="AJ71" s="33">
        <f t="shared" si="18"/>
        <v>20</v>
      </c>
      <c r="AK71" s="33">
        <f t="shared" si="19"/>
        <v>20</v>
      </c>
      <c r="AL71" s="33">
        <f t="shared" si="20"/>
        <v>20</v>
      </c>
      <c r="AM71" s="33">
        <f t="shared" si="21"/>
        <v>20</v>
      </c>
      <c r="AN71" s="33">
        <f t="shared" si="22"/>
        <v>20</v>
      </c>
      <c r="AO71" s="33">
        <f t="shared" ref="AO71:AR71" si="218">COUNTIF($C71:$W71,T71)</f>
        <v>1</v>
      </c>
      <c r="AP71" s="33">
        <f t="shared" si="218"/>
        <v>20</v>
      </c>
      <c r="AQ71" s="33">
        <f t="shared" si="218"/>
        <v>20</v>
      </c>
      <c r="AR71" s="33">
        <f t="shared" si="218"/>
        <v>20</v>
      </c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ht="10.5" customHeight="1">
      <c r="A72" s="30" t="s">
        <v>65</v>
      </c>
      <c r="B72" s="31" t="s">
        <v>67</v>
      </c>
      <c r="C72" s="32" t="str">
        <f>VLOOKUP($C$2,Form_PrimeiraFase!$C$2:$FB$69,66,FALSE)</f>
        <v>Villarreal</v>
      </c>
      <c r="D72" s="32" t="str">
        <f>VLOOKUP($D$2,Form_PrimeiraFase!$C$2:$FB$69,66,FALSE)</f>
        <v>Villarreal</v>
      </c>
      <c r="E72" s="32" t="str">
        <f>VLOOKUP($E$2,Form_PrimeiraFase!$C$2:$FB$69,66,FALSE)</f>
        <v>Villarreal</v>
      </c>
      <c r="F72" s="32" t="str">
        <f>VLOOKUP($F$2,Form_PrimeiraFase!$C$2:$FB$69,66,FALSE)</f>
        <v>Villarreal</v>
      </c>
      <c r="G72" s="32" t="str">
        <f>VLOOKUP($G$2,Form_PrimeiraFase!$C$2:$FB$69,66,FALSE)</f>
        <v>Empate</v>
      </c>
      <c r="H72" s="32" t="str">
        <f>VLOOKUP($H$2,Form_PrimeiraFase!$C$2:$FB$69,66,FALSE)</f>
        <v>Villarreal</v>
      </c>
      <c r="I72" s="32" t="str">
        <f>VLOOKUP($I$2,Form_PrimeiraFase!$C$2:$FB$69,66,FALSE)</f>
        <v>Villarreal</v>
      </c>
      <c r="J72" s="32" t="str">
        <f>VLOOKUP($J$2,Form_PrimeiraFase!$C$2:$FB$69,66,FALSE)</f>
        <v>Villarreal</v>
      </c>
      <c r="K72" s="32" t="str">
        <f>VLOOKUP($K$2,Form_PrimeiraFase!$C$2:$FB$69,66,FALSE)</f>
        <v>Villarreal</v>
      </c>
      <c r="L72" s="32" t="str">
        <f>VLOOKUP($L$2,Form_PrimeiraFase!$C$2:$FB$69,66,FALSE)</f>
        <v>Empate</v>
      </c>
      <c r="M72" s="32" t="str">
        <f>VLOOKUP($M$2,Form_PrimeiraFase!$C$2:$FB$69,66,FALSE)</f>
        <v>Villarreal</v>
      </c>
      <c r="N72" s="32" t="str">
        <f>VLOOKUP($N$2,Form_PrimeiraFase!$C$2:$FB$69,66,FALSE)</f>
        <v>Villarreal</v>
      </c>
      <c r="O72" s="32" t="str">
        <f>VLOOKUP($O$2,Form_PrimeiraFase!$C$2:$FB$69,66,FALSE)</f>
        <v>Empate</v>
      </c>
      <c r="P72" s="32" t="str">
        <f>VLOOKUP($P$2,Form_PrimeiraFase!$C$2:$FB$69,66,FALSE)</f>
        <v>Villarreal</v>
      </c>
      <c r="Q72" s="32" t="str">
        <f>VLOOKUP($Q$2,Form_PrimeiraFase!$C$2:$FB$69,66,FALSE)</f>
        <v>Villarreal</v>
      </c>
      <c r="R72" s="32" t="str">
        <f>VLOOKUP($R$2,Form_PrimeiraFase!$C$2:$FB$69,66,FALSE)</f>
        <v>Villarreal</v>
      </c>
      <c r="S72" s="32" t="str">
        <f>VLOOKUP($S$2,Form_PrimeiraFase!$C$2:$FB$69,66,FALSE)</f>
        <v>Empate</v>
      </c>
      <c r="T72" s="32" t="str">
        <f>VLOOKUP($T$2,Form_PrimeiraFase!$C$2:$FB$69,66,FALSE)</f>
        <v>Empate</v>
      </c>
      <c r="U72" s="32" t="str">
        <f>VLOOKUP($U$2,Form_PrimeiraFase!$C$2:$FB$69,66,FALSE)</f>
        <v>Empate</v>
      </c>
      <c r="V72" s="32" t="str">
        <f>VLOOKUP($V$2,Form_PrimeiraFase!$C$2:$FB$69,66,FALSE)</f>
        <v>Villarreal</v>
      </c>
      <c r="W72" s="32" t="str">
        <f>VLOOKUP($W$2,Form_PrimeiraFase!$C$2:$FB$69,66,FALSE)</f>
        <v>Villarreal</v>
      </c>
      <c r="X72" s="33">
        <f t="shared" ref="X72:Y72" si="219">COUNTIF($C72:$W72,J72)</f>
        <v>15</v>
      </c>
      <c r="Y72" s="33">
        <f t="shared" si="219"/>
        <v>15</v>
      </c>
      <c r="Z72" s="33">
        <f t="shared" si="9"/>
        <v>15</v>
      </c>
      <c r="AA72" s="33">
        <f t="shared" si="10"/>
        <v>15</v>
      </c>
      <c r="AB72" s="33">
        <f t="shared" ref="AB72:AC72" si="220">COUNTIF($C72:$W72,N72)</f>
        <v>15</v>
      </c>
      <c r="AC72" s="33">
        <f t="shared" si="220"/>
        <v>6</v>
      </c>
      <c r="AD72" s="33">
        <f t="shared" si="12"/>
        <v>6</v>
      </c>
      <c r="AE72" s="33">
        <f t="shared" si="13"/>
        <v>15</v>
      </c>
      <c r="AF72" s="33">
        <f t="shared" si="14"/>
        <v>15</v>
      </c>
      <c r="AG72" s="33">
        <f t="shared" si="15"/>
        <v>6</v>
      </c>
      <c r="AH72" s="33">
        <f t="shared" si="16"/>
        <v>15</v>
      </c>
      <c r="AI72" s="33">
        <f t="shared" si="17"/>
        <v>15</v>
      </c>
      <c r="AJ72" s="33">
        <f t="shared" si="18"/>
        <v>15</v>
      </c>
      <c r="AK72" s="33">
        <f t="shared" si="19"/>
        <v>15</v>
      </c>
      <c r="AL72" s="33">
        <f t="shared" si="20"/>
        <v>15</v>
      </c>
      <c r="AM72" s="33">
        <f t="shared" si="21"/>
        <v>6</v>
      </c>
      <c r="AN72" s="33">
        <f t="shared" si="22"/>
        <v>15</v>
      </c>
      <c r="AO72" s="33">
        <f t="shared" ref="AO72:AR72" si="221">COUNTIF($C72:$W72,T72)</f>
        <v>6</v>
      </c>
      <c r="AP72" s="33">
        <f t="shared" si="221"/>
        <v>6</v>
      </c>
      <c r="AQ72" s="33">
        <f t="shared" si="221"/>
        <v>15</v>
      </c>
      <c r="AR72" s="33">
        <f t="shared" si="221"/>
        <v>15</v>
      </c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ht="10.5" customHeight="1">
      <c r="A73" s="30" t="s">
        <v>65</v>
      </c>
      <c r="B73" s="31" t="s">
        <v>49</v>
      </c>
      <c r="C73" s="32" t="str">
        <f>VLOOKUP($C$2,Form_PrimeiraFase!$C$2:$FB$69,67,FALSE)</f>
        <v>Manchester City</v>
      </c>
      <c r="D73" s="32" t="str">
        <f>VLOOKUP($D$2,Form_PrimeiraFase!$C$2:$FB$69,67,FALSE)</f>
        <v>Manchester City</v>
      </c>
      <c r="E73" s="32" t="str">
        <f>VLOOKUP($E$2,Form_PrimeiraFase!$C$2:$FB$69,67,FALSE)</f>
        <v>Manchester City</v>
      </c>
      <c r="F73" s="32" t="str">
        <f>VLOOKUP($F$2,Form_PrimeiraFase!$C$2:$FB$69,67,FALSE)</f>
        <v>Manchester City</v>
      </c>
      <c r="G73" s="32" t="str">
        <f>VLOOKUP($G$2,Form_PrimeiraFase!$C$2:$FB$69,67,FALSE)</f>
        <v>Manchester City</v>
      </c>
      <c r="H73" s="32" t="str">
        <f>VLOOKUP($H$2,Form_PrimeiraFase!$C$2:$FB$69,67,FALSE)</f>
        <v>Borussia Dortmund</v>
      </c>
      <c r="I73" s="32" t="str">
        <f>VLOOKUP($I$2,Form_PrimeiraFase!$C$2:$FB$69,67,FALSE)</f>
        <v>Manchester City</v>
      </c>
      <c r="J73" s="32" t="str">
        <f>VLOOKUP($J$2,Form_PrimeiraFase!$C$2:$FB$69,67,FALSE)</f>
        <v>Manchester City</v>
      </c>
      <c r="K73" s="32" t="str">
        <f>VLOOKUP($K$2,Form_PrimeiraFase!$C$2:$FB$69,67,FALSE)</f>
        <v>Manchester City</v>
      </c>
      <c r="L73" s="32" t="str">
        <f>VLOOKUP($L$2,Form_PrimeiraFase!$C$2:$FB$69,67,FALSE)</f>
        <v>Manchester City</v>
      </c>
      <c r="M73" s="32" t="str">
        <f>VLOOKUP($M$2,Form_PrimeiraFase!$C$2:$FB$69,67,FALSE)</f>
        <v>Manchester City</v>
      </c>
      <c r="N73" s="32" t="str">
        <f>VLOOKUP($N$2,Form_PrimeiraFase!$C$2:$FB$69,67,FALSE)</f>
        <v>Manchester City</v>
      </c>
      <c r="O73" s="32" t="str">
        <f>VLOOKUP($O$2,Form_PrimeiraFase!$C$2:$FB$69,67,FALSE)</f>
        <v>Empate</v>
      </c>
      <c r="P73" s="32" t="str">
        <f>VLOOKUP($P$2,Form_PrimeiraFase!$C$2:$FB$69,67,FALSE)</f>
        <v>Manchester City</v>
      </c>
      <c r="Q73" s="32" t="str">
        <f>VLOOKUP($Q$2,Form_PrimeiraFase!$C$2:$FB$69,67,FALSE)</f>
        <v>Manchester City</v>
      </c>
      <c r="R73" s="32" t="str">
        <f>VLOOKUP($R$2,Form_PrimeiraFase!$C$2:$FB$69,67,FALSE)</f>
        <v>Manchester City</v>
      </c>
      <c r="S73" s="32" t="str">
        <f>VLOOKUP($S$2,Form_PrimeiraFase!$C$2:$FB$69,67,FALSE)</f>
        <v>Manchester City</v>
      </c>
      <c r="T73" s="32" t="str">
        <f>VLOOKUP($T$2,Form_PrimeiraFase!$C$2:$FB$69,67,FALSE)</f>
        <v>Manchester City</v>
      </c>
      <c r="U73" s="32" t="str">
        <f>VLOOKUP($U$2,Form_PrimeiraFase!$C$2:$FB$69,67,FALSE)</f>
        <v>Manchester City</v>
      </c>
      <c r="V73" s="32" t="str">
        <f>VLOOKUP($V$2,Form_PrimeiraFase!$C$2:$FB$69,67,FALSE)</f>
        <v>Manchester City</v>
      </c>
      <c r="W73" s="32" t="str">
        <f>VLOOKUP($W$2,Form_PrimeiraFase!$C$2:$FB$69,67,FALSE)</f>
        <v>Manchester City</v>
      </c>
      <c r="X73" s="33">
        <f t="shared" ref="X73:Y73" si="222">COUNTIF($C73:$W73,J73)</f>
        <v>19</v>
      </c>
      <c r="Y73" s="33">
        <f t="shared" si="222"/>
        <v>19</v>
      </c>
      <c r="Z73" s="33">
        <f t="shared" si="9"/>
        <v>19</v>
      </c>
      <c r="AA73" s="33">
        <f t="shared" si="10"/>
        <v>19</v>
      </c>
      <c r="AB73" s="33">
        <f t="shared" ref="AB73:AC73" si="223">COUNTIF($C73:$W73,N73)</f>
        <v>19</v>
      </c>
      <c r="AC73" s="33">
        <f t="shared" si="223"/>
        <v>1</v>
      </c>
      <c r="AD73" s="33">
        <f t="shared" si="12"/>
        <v>19</v>
      </c>
      <c r="AE73" s="33">
        <f t="shared" si="13"/>
        <v>19</v>
      </c>
      <c r="AF73" s="33">
        <f t="shared" si="14"/>
        <v>19</v>
      </c>
      <c r="AG73" s="33">
        <f t="shared" si="15"/>
        <v>19</v>
      </c>
      <c r="AH73" s="33">
        <f t="shared" si="16"/>
        <v>19</v>
      </c>
      <c r="AI73" s="33">
        <f t="shared" si="17"/>
        <v>19</v>
      </c>
      <c r="AJ73" s="33">
        <f t="shared" si="18"/>
        <v>19</v>
      </c>
      <c r="AK73" s="33">
        <f t="shared" si="19"/>
        <v>19</v>
      </c>
      <c r="AL73" s="33">
        <f t="shared" si="20"/>
        <v>19</v>
      </c>
      <c r="AM73" s="33">
        <f t="shared" si="21"/>
        <v>19</v>
      </c>
      <c r="AN73" s="33">
        <f t="shared" si="22"/>
        <v>1</v>
      </c>
      <c r="AO73" s="33">
        <f t="shared" ref="AO73:AR73" si="224">COUNTIF($C73:$W73,T73)</f>
        <v>19</v>
      </c>
      <c r="AP73" s="33">
        <f t="shared" si="224"/>
        <v>19</v>
      </c>
      <c r="AQ73" s="33">
        <f t="shared" si="224"/>
        <v>19</v>
      </c>
      <c r="AR73" s="33">
        <f t="shared" si="224"/>
        <v>19</v>
      </c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ht="10.5" customHeight="1">
      <c r="A74" s="30" t="s">
        <v>65</v>
      </c>
      <c r="B74" s="31" t="s">
        <v>47</v>
      </c>
      <c r="C74" s="32" t="str">
        <f>VLOOKUP($C$2,Form_PrimeiraFase!$C$2:$FB$69,68,FALSE)</f>
        <v>Internazionale</v>
      </c>
      <c r="D74" s="32" t="str">
        <f>VLOOKUP($D$2,Form_PrimeiraFase!$C$2:$FB$69,68,FALSE)</f>
        <v>Internazionale</v>
      </c>
      <c r="E74" s="32" t="str">
        <f>VLOOKUP($E$2,Form_PrimeiraFase!$C$2:$FB$69,68,FALSE)</f>
        <v>Internazionale</v>
      </c>
      <c r="F74" s="32" t="str">
        <f>VLOOKUP($F$2,Form_PrimeiraFase!$C$2:$FB$69,68,FALSE)</f>
        <v>Internazionale</v>
      </c>
      <c r="G74" s="32" t="str">
        <f>VLOOKUP($G$2,Form_PrimeiraFase!$C$2:$FB$69,68,FALSE)</f>
        <v>Internazionale</v>
      </c>
      <c r="H74" s="32" t="str">
        <f>VLOOKUP($H$2,Form_PrimeiraFase!$C$2:$FB$69,68,FALSE)</f>
        <v>Internazionale</v>
      </c>
      <c r="I74" s="32" t="str">
        <f>VLOOKUP($I$2,Form_PrimeiraFase!$C$2:$FB$69,68,FALSE)</f>
        <v>Internazionale</v>
      </c>
      <c r="J74" s="32" t="str">
        <f>VLOOKUP($J$2,Form_PrimeiraFase!$C$2:$FB$69,68,FALSE)</f>
        <v>Internazionale</v>
      </c>
      <c r="K74" s="32" t="str">
        <f>VLOOKUP($K$2,Form_PrimeiraFase!$C$2:$FB$69,68,FALSE)</f>
        <v>Internazionale</v>
      </c>
      <c r="L74" s="32" t="str">
        <f>VLOOKUP($L$2,Form_PrimeiraFase!$C$2:$FB$69,68,FALSE)</f>
        <v>Internazionale</v>
      </c>
      <c r="M74" s="32" t="str">
        <f>VLOOKUP($M$2,Form_PrimeiraFase!$C$2:$FB$69,68,FALSE)</f>
        <v>Internazionale</v>
      </c>
      <c r="N74" s="32" t="str">
        <f>VLOOKUP($N$2,Form_PrimeiraFase!$C$2:$FB$69,68,FALSE)</f>
        <v>Internazionale</v>
      </c>
      <c r="O74" s="32" t="str">
        <f>VLOOKUP($O$2,Form_PrimeiraFase!$C$2:$FB$69,68,FALSE)</f>
        <v>Internazionale</v>
      </c>
      <c r="P74" s="32" t="str">
        <f>VLOOKUP($P$2,Form_PrimeiraFase!$C$2:$FB$69,68,FALSE)</f>
        <v>Internazionale</v>
      </c>
      <c r="Q74" s="32" t="str">
        <f>VLOOKUP($Q$2,Form_PrimeiraFase!$C$2:$FB$69,68,FALSE)</f>
        <v>Internazionale</v>
      </c>
      <c r="R74" s="32" t="str">
        <f>VLOOKUP($R$2,Form_PrimeiraFase!$C$2:$FB$69,68,FALSE)</f>
        <v>Internazionale</v>
      </c>
      <c r="S74" s="32" t="str">
        <f>VLOOKUP($S$2,Form_PrimeiraFase!$C$2:$FB$69,68,FALSE)</f>
        <v>Internazionale</v>
      </c>
      <c r="T74" s="32" t="str">
        <f>VLOOKUP($T$2,Form_PrimeiraFase!$C$2:$FB$69,68,FALSE)</f>
        <v>Internazionale</v>
      </c>
      <c r="U74" s="32" t="str">
        <f>VLOOKUP($U$2,Form_PrimeiraFase!$C$2:$FB$69,68,FALSE)</f>
        <v>Internazionale</v>
      </c>
      <c r="V74" s="32" t="str">
        <f>VLOOKUP($V$2,Form_PrimeiraFase!$C$2:$FB$69,68,FALSE)</f>
        <v>Internazionale</v>
      </c>
      <c r="W74" s="32" t="str">
        <f>VLOOKUP($W$2,Form_PrimeiraFase!$C$2:$FB$69,68,FALSE)</f>
        <v>Internazionale</v>
      </c>
      <c r="X74" s="33">
        <f t="shared" ref="X74:Y74" si="225">COUNTIF($C74:$W74,J74)</f>
        <v>21</v>
      </c>
      <c r="Y74" s="33">
        <f t="shared" si="225"/>
        <v>21</v>
      </c>
      <c r="Z74" s="33">
        <f t="shared" si="9"/>
        <v>21</v>
      </c>
      <c r="AA74" s="33">
        <f t="shared" si="10"/>
        <v>21</v>
      </c>
      <c r="AB74" s="33">
        <f t="shared" ref="AB74:AC74" si="226">COUNTIF($C74:$W74,N74)</f>
        <v>21</v>
      </c>
      <c r="AC74" s="33">
        <f t="shared" si="226"/>
        <v>21</v>
      </c>
      <c r="AD74" s="33">
        <f t="shared" si="12"/>
        <v>21</v>
      </c>
      <c r="AE74" s="33">
        <f t="shared" si="13"/>
        <v>21</v>
      </c>
      <c r="AF74" s="33">
        <f t="shared" si="14"/>
        <v>21</v>
      </c>
      <c r="AG74" s="33">
        <f t="shared" si="15"/>
        <v>21</v>
      </c>
      <c r="AH74" s="33">
        <f t="shared" si="16"/>
        <v>21</v>
      </c>
      <c r="AI74" s="33">
        <f t="shared" si="17"/>
        <v>21</v>
      </c>
      <c r="AJ74" s="33">
        <f t="shared" si="18"/>
        <v>21</v>
      </c>
      <c r="AK74" s="33">
        <f t="shared" si="19"/>
        <v>21</v>
      </c>
      <c r="AL74" s="33">
        <f t="shared" si="20"/>
        <v>21</v>
      </c>
      <c r="AM74" s="33">
        <f t="shared" si="21"/>
        <v>21</v>
      </c>
      <c r="AN74" s="33">
        <f t="shared" si="22"/>
        <v>21</v>
      </c>
      <c r="AO74" s="33">
        <f t="shared" ref="AO74:AR74" si="227">COUNTIF($C74:$W74,T74)</f>
        <v>21</v>
      </c>
      <c r="AP74" s="33">
        <f t="shared" si="227"/>
        <v>21</v>
      </c>
      <c r="AQ74" s="33">
        <f t="shared" si="227"/>
        <v>21</v>
      </c>
      <c r="AR74" s="33">
        <f t="shared" si="227"/>
        <v>21</v>
      </c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ht="10.5" customHeight="1">
      <c r="A75" s="30" t="s">
        <v>65</v>
      </c>
      <c r="B75" s="31" t="s">
        <v>68</v>
      </c>
      <c r="C75" s="32" t="str">
        <f>VLOOKUP($C$2,Form_PrimeiraFase!$C$2:$FB$69,69,FALSE)</f>
        <v>Benfica</v>
      </c>
      <c r="D75" s="32" t="str">
        <f>VLOOKUP($D$2,Form_PrimeiraFase!$C$2:$FB$69,69,FALSE)</f>
        <v>Empate</v>
      </c>
      <c r="E75" s="32" t="str">
        <f>VLOOKUP($E$2,Form_PrimeiraFase!$C$2:$FB$69,69,FALSE)</f>
        <v>Benfica</v>
      </c>
      <c r="F75" s="32" t="str">
        <f>VLOOKUP($F$2,Form_PrimeiraFase!$C$2:$FB$69,69,FALSE)</f>
        <v>Empate</v>
      </c>
      <c r="G75" s="32" t="str">
        <f>VLOOKUP($G$2,Form_PrimeiraFase!$C$2:$FB$69,69,FALSE)</f>
        <v>Benfica</v>
      </c>
      <c r="H75" s="32" t="str">
        <f>VLOOKUP($H$2,Form_PrimeiraFase!$C$2:$FB$69,69,FALSE)</f>
        <v>Benfica</v>
      </c>
      <c r="I75" s="32" t="str">
        <f>VLOOKUP($I$2,Form_PrimeiraFase!$C$2:$FB$69,69,FALSE)</f>
        <v>Benfica</v>
      </c>
      <c r="J75" s="32" t="str">
        <f>VLOOKUP($J$2,Form_PrimeiraFase!$C$2:$FB$69,69,FALSE)</f>
        <v>Empate</v>
      </c>
      <c r="K75" s="32" t="str">
        <f>VLOOKUP($K$2,Form_PrimeiraFase!$C$2:$FB$69,69,FALSE)</f>
        <v>Benfica</v>
      </c>
      <c r="L75" s="32" t="str">
        <f>VLOOKUP($L$2,Form_PrimeiraFase!$C$2:$FB$69,69,FALSE)</f>
        <v>Empate</v>
      </c>
      <c r="M75" s="32" t="str">
        <f>VLOOKUP($M$2,Form_PrimeiraFase!$C$2:$FB$69,69,FALSE)</f>
        <v>Benfica</v>
      </c>
      <c r="N75" s="32" t="str">
        <f>VLOOKUP($N$2,Form_PrimeiraFase!$C$2:$FB$69,69,FALSE)</f>
        <v>Benfica</v>
      </c>
      <c r="O75" s="32" t="str">
        <f>VLOOKUP($O$2,Form_PrimeiraFase!$C$2:$FB$69,69,FALSE)</f>
        <v>Empate</v>
      </c>
      <c r="P75" s="32" t="str">
        <f>VLOOKUP($P$2,Form_PrimeiraFase!$C$2:$FB$69,69,FALSE)</f>
        <v>Benfica</v>
      </c>
      <c r="Q75" s="32" t="str">
        <f>VLOOKUP($Q$2,Form_PrimeiraFase!$C$2:$FB$69,69,FALSE)</f>
        <v>Bayer Leverkusen</v>
      </c>
      <c r="R75" s="32" t="str">
        <f>VLOOKUP($R$2,Form_PrimeiraFase!$C$2:$FB$69,69,FALSE)</f>
        <v>Benfica</v>
      </c>
      <c r="S75" s="32" t="str">
        <f>VLOOKUP($S$2,Form_PrimeiraFase!$C$2:$FB$69,69,FALSE)</f>
        <v>Benfica</v>
      </c>
      <c r="T75" s="32" t="str">
        <f>VLOOKUP($T$2,Form_PrimeiraFase!$C$2:$FB$69,69,FALSE)</f>
        <v>Benfica</v>
      </c>
      <c r="U75" s="32" t="str">
        <f>VLOOKUP($U$2,Form_PrimeiraFase!$C$2:$FB$69,69,FALSE)</f>
        <v>Bayer Leverkusen</v>
      </c>
      <c r="V75" s="32" t="str">
        <f>VLOOKUP($V$2,Form_PrimeiraFase!$C$2:$FB$69,69,FALSE)</f>
        <v>Benfica</v>
      </c>
      <c r="W75" s="32" t="str">
        <f>VLOOKUP($W$2,Form_PrimeiraFase!$C$2:$FB$69,69,FALSE)</f>
        <v>Empate</v>
      </c>
      <c r="X75" s="33">
        <f t="shared" ref="X75:Y75" si="228">COUNTIF($C75:$W75,J75)</f>
        <v>6</v>
      </c>
      <c r="Y75" s="33">
        <f t="shared" si="228"/>
        <v>13</v>
      </c>
      <c r="Z75" s="33">
        <f t="shared" si="9"/>
        <v>13</v>
      </c>
      <c r="AA75" s="33">
        <f t="shared" si="10"/>
        <v>6</v>
      </c>
      <c r="AB75" s="33">
        <f t="shared" ref="AB75:AC75" si="229">COUNTIF($C75:$W75,N75)</f>
        <v>13</v>
      </c>
      <c r="AC75" s="33">
        <f t="shared" si="229"/>
        <v>6</v>
      </c>
      <c r="AD75" s="33">
        <f t="shared" si="12"/>
        <v>13</v>
      </c>
      <c r="AE75" s="33">
        <f t="shared" si="13"/>
        <v>6</v>
      </c>
      <c r="AF75" s="33">
        <f t="shared" si="14"/>
        <v>13</v>
      </c>
      <c r="AG75" s="33">
        <f t="shared" si="15"/>
        <v>13</v>
      </c>
      <c r="AH75" s="33">
        <f t="shared" si="16"/>
        <v>13</v>
      </c>
      <c r="AI75" s="33">
        <f t="shared" si="17"/>
        <v>13</v>
      </c>
      <c r="AJ75" s="33">
        <f t="shared" si="18"/>
        <v>13</v>
      </c>
      <c r="AK75" s="33">
        <f t="shared" si="19"/>
        <v>13</v>
      </c>
      <c r="AL75" s="33">
        <f t="shared" si="20"/>
        <v>2</v>
      </c>
      <c r="AM75" s="33">
        <f t="shared" si="21"/>
        <v>6</v>
      </c>
      <c r="AN75" s="33">
        <f t="shared" si="22"/>
        <v>13</v>
      </c>
      <c r="AO75" s="33">
        <f t="shared" ref="AO75:AR75" si="230">COUNTIF($C75:$W75,T75)</f>
        <v>13</v>
      </c>
      <c r="AP75" s="33">
        <f t="shared" si="230"/>
        <v>2</v>
      </c>
      <c r="AQ75" s="33">
        <f t="shared" si="230"/>
        <v>13</v>
      </c>
      <c r="AR75" s="33">
        <f t="shared" si="230"/>
        <v>6</v>
      </c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ht="10.5" customHeight="1">
      <c r="A76" s="30" t="s">
        <v>65</v>
      </c>
      <c r="B76" s="31" t="s">
        <v>42</v>
      </c>
      <c r="C76" s="32" t="str">
        <f>VLOOKUP($C$2,Form_PrimeiraFase!$C$2:$FB$69,70,FALSE)</f>
        <v>Barcelona</v>
      </c>
      <c r="D76" s="32" t="str">
        <f>VLOOKUP($D$2,Form_PrimeiraFase!$C$2:$FB$69,70,FALSE)</f>
        <v>Barcelona</v>
      </c>
      <c r="E76" s="32" t="str">
        <f>VLOOKUP($E$2,Form_PrimeiraFase!$C$2:$FB$69,70,FALSE)</f>
        <v>Barcelona</v>
      </c>
      <c r="F76" s="32" t="str">
        <f>VLOOKUP($F$2,Form_PrimeiraFase!$C$2:$FB$69,70,FALSE)</f>
        <v>Barcelona</v>
      </c>
      <c r="G76" s="32" t="str">
        <f>VLOOKUP($G$2,Form_PrimeiraFase!$C$2:$FB$69,70,FALSE)</f>
        <v>Barcelona</v>
      </c>
      <c r="H76" s="32" t="str">
        <f>VLOOKUP($H$2,Form_PrimeiraFase!$C$2:$FB$69,70,FALSE)</f>
        <v>Barcelona</v>
      </c>
      <c r="I76" s="32" t="str">
        <f>VLOOKUP($I$2,Form_PrimeiraFase!$C$2:$FB$69,70,FALSE)</f>
        <v>Barcelona</v>
      </c>
      <c r="J76" s="32" t="str">
        <f>VLOOKUP($J$2,Form_PrimeiraFase!$C$2:$FB$69,70,FALSE)</f>
        <v>Barcelona</v>
      </c>
      <c r="K76" s="32" t="str">
        <f>VLOOKUP($K$2,Form_PrimeiraFase!$C$2:$FB$69,70,FALSE)</f>
        <v>Barcelona</v>
      </c>
      <c r="L76" s="32" t="str">
        <f>VLOOKUP($L$2,Form_PrimeiraFase!$C$2:$FB$69,70,FALSE)</f>
        <v>Barcelona</v>
      </c>
      <c r="M76" s="32" t="str">
        <f>VLOOKUP($M$2,Form_PrimeiraFase!$C$2:$FB$69,70,FALSE)</f>
        <v>Barcelona</v>
      </c>
      <c r="N76" s="32" t="str">
        <f>VLOOKUP($N$2,Form_PrimeiraFase!$C$2:$FB$69,70,FALSE)</f>
        <v>Barcelona</v>
      </c>
      <c r="O76" s="32" t="str">
        <f>VLOOKUP($O$2,Form_PrimeiraFase!$C$2:$FB$69,70,FALSE)</f>
        <v>Barcelona</v>
      </c>
      <c r="P76" s="32" t="str">
        <f>VLOOKUP($P$2,Form_PrimeiraFase!$C$2:$FB$69,70,FALSE)</f>
        <v>Barcelona</v>
      </c>
      <c r="Q76" s="32" t="str">
        <f>VLOOKUP($Q$2,Form_PrimeiraFase!$C$2:$FB$69,70,FALSE)</f>
        <v>Barcelona</v>
      </c>
      <c r="R76" s="32" t="str">
        <f>VLOOKUP($R$2,Form_PrimeiraFase!$C$2:$FB$69,70,FALSE)</f>
        <v>Barcelona</v>
      </c>
      <c r="S76" s="32" t="str">
        <f>VLOOKUP($S$2,Form_PrimeiraFase!$C$2:$FB$69,70,FALSE)</f>
        <v>Barcelona</v>
      </c>
      <c r="T76" s="32" t="str">
        <f>VLOOKUP($T$2,Form_PrimeiraFase!$C$2:$FB$69,70,FALSE)</f>
        <v>Club Brugge</v>
      </c>
      <c r="U76" s="32" t="str">
        <f>VLOOKUP($U$2,Form_PrimeiraFase!$C$2:$FB$69,70,FALSE)</f>
        <v>Barcelona</v>
      </c>
      <c r="V76" s="32" t="str">
        <f>VLOOKUP($V$2,Form_PrimeiraFase!$C$2:$FB$69,70,FALSE)</f>
        <v>Barcelona</v>
      </c>
      <c r="W76" s="32" t="str">
        <f>VLOOKUP($W$2,Form_PrimeiraFase!$C$2:$FB$69,70,FALSE)</f>
        <v>Barcelona</v>
      </c>
      <c r="X76" s="33">
        <f t="shared" ref="X76:Y76" si="231">COUNTIF($C76:$W76,J76)</f>
        <v>20</v>
      </c>
      <c r="Y76" s="33">
        <f t="shared" si="231"/>
        <v>20</v>
      </c>
      <c r="Z76" s="33">
        <f t="shared" si="9"/>
        <v>20</v>
      </c>
      <c r="AA76" s="33">
        <f t="shared" si="10"/>
        <v>20</v>
      </c>
      <c r="AB76" s="33">
        <f t="shared" ref="AB76:AC76" si="232">COUNTIF($C76:$W76,N76)</f>
        <v>20</v>
      </c>
      <c r="AC76" s="33">
        <f t="shared" si="232"/>
        <v>20</v>
      </c>
      <c r="AD76" s="33">
        <f t="shared" si="12"/>
        <v>20</v>
      </c>
      <c r="AE76" s="33">
        <f t="shared" si="13"/>
        <v>20</v>
      </c>
      <c r="AF76" s="33">
        <f t="shared" si="14"/>
        <v>20</v>
      </c>
      <c r="AG76" s="33">
        <f t="shared" si="15"/>
        <v>20</v>
      </c>
      <c r="AH76" s="33">
        <f t="shared" si="16"/>
        <v>20</v>
      </c>
      <c r="AI76" s="33">
        <f t="shared" si="17"/>
        <v>20</v>
      </c>
      <c r="AJ76" s="33">
        <f t="shared" si="18"/>
        <v>20</v>
      </c>
      <c r="AK76" s="33">
        <f t="shared" si="19"/>
        <v>20</v>
      </c>
      <c r="AL76" s="33">
        <f t="shared" si="20"/>
        <v>20</v>
      </c>
      <c r="AM76" s="33">
        <f t="shared" si="21"/>
        <v>20</v>
      </c>
      <c r="AN76" s="33">
        <f t="shared" si="22"/>
        <v>20</v>
      </c>
      <c r="AO76" s="33">
        <f t="shared" ref="AO76:AR76" si="233">COUNTIF($C76:$W76,T76)</f>
        <v>1</v>
      </c>
      <c r="AP76" s="33">
        <f t="shared" si="233"/>
        <v>20</v>
      </c>
      <c r="AQ76" s="33">
        <f t="shared" si="233"/>
        <v>20</v>
      </c>
      <c r="AR76" s="33">
        <f t="shared" si="233"/>
        <v>20</v>
      </c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ht="10.5" customHeight="1">
      <c r="A77" s="30" t="s">
        <v>65</v>
      </c>
      <c r="B77" s="31" t="s">
        <v>58</v>
      </c>
      <c r="C77" s="32" t="str">
        <f>VLOOKUP($C$2,Form_PrimeiraFase!$C$2:$FB$69,71,FALSE)</f>
        <v>Empate</v>
      </c>
      <c r="D77" s="32" t="str">
        <f>VLOOKUP($D$2,Form_PrimeiraFase!$C$2:$FB$69,71,FALSE)</f>
        <v>Ajax</v>
      </c>
      <c r="E77" s="32" t="str">
        <f>VLOOKUP($E$2,Form_PrimeiraFase!$C$2:$FB$69,71,FALSE)</f>
        <v>Ajax</v>
      </c>
      <c r="F77" s="32" t="str">
        <f>VLOOKUP($F$2,Form_PrimeiraFase!$C$2:$FB$69,71,FALSE)</f>
        <v>Ajax</v>
      </c>
      <c r="G77" s="32" t="str">
        <f>VLOOKUP($G$2,Form_PrimeiraFase!$C$2:$FB$69,71,FALSE)</f>
        <v>Ajax</v>
      </c>
      <c r="H77" s="32" t="str">
        <f>VLOOKUP($H$2,Form_PrimeiraFase!$C$2:$FB$69,71,FALSE)</f>
        <v>Ajax</v>
      </c>
      <c r="I77" s="32" t="str">
        <f>VLOOKUP($I$2,Form_PrimeiraFase!$C$2:$FB$69,71,FALSE)</f>
        <v>Ajax</v>
      </c>
      <c r="J77" s="32" t="str">
        <f>VLOOKUP($J$2,Form_PrimeiraFase!$C$2:$FB$69,71,FALSE)</f>
        <v>Ajax</v>
      </c>
      <c r="K77" s="32" t="str">
        <f>VLOOKUP($K$2,Form_PrimeiraFase!$C$2:$FB$69,71,FALSE)</f>
        <v>Ajax</v>
      </c>
      <c r="L77" s="32" t="str">
        <f>VLOOKUP($L$2,Form_PrimeiraFase!$C$2:$FB$69,71,FALSE)</f>
        <v>Ajax</v>
      </c>
      <c r="M77" s="32" t="str">
        <f>VLOOKUP($M$2,Form_PrimeiraFase!$C$2:$FB$69,71,FALSE)</f>
        <v>Ajax</v>
      </c>
      <c r="N77" s="32" t="str">
        <f>VLOOKUP($N$2,Form_PrimeiraFase!$C$2:$FB$69,71,FALSE)</f>
        <v>Ajax</v>
      </c>
      <c r="O77" s="32" t="str">
        <f>VLOOKUP($O$2,Form_PrimeiraFase!$C$2:$FB$69,71,FALSE)</f>
        <v>Ajax</v>
      </c>
      <c r="P77" s="32" t="str">
        <f>VLOOKUP($P$2,Form_PrimeiraFase!$C$2:$FB$69,71,FALSE)</f>
        <v>Ajax</v>
      </c>
      <c r="Q77" s="32" t="str">
        <f>VLOOKUP($Q$2,Form_PrimeiraFase!$C$2:$FB$69,71,FALSE)</f>
        <v>Ajax</v>
      </c>
      <c r="R77" s="32" t="str">
        <f>VLOOKUP($R$2,Form_PrimeiraFase!$C$2:$FB$69,71,FALSE)</f>
        <v>Ajax</v>
      </c>
      <c r="S77" s="32" t="str">
        <f>VLOOKUP($S$2,Form_PrimeiraFase!$C$2:$FB$69,71,FALSE)</f>
        <v>Ajax</v>
      </c>
      <c r="T77" s="32" t="str">
        <f>VLOOKUP($T$2,Form_PrimeiraFase!$C$2:$FB$69,71,FALSE)</f>
        <v>Ajax</v>
      </c>
      <c r="U77" s="32" t="str">
        <f>VLOOKUP($U$2,Form_PrimeiraFase!$C$2:$FB$69,71,FALSE)</f>
        <v>Ajax</v>
      </c>
      <c r="V77" s="32" t="str">
        <f>VLOOKUP($V$2,Form_PrimeiraFase!$C$2:$FB$69,71,FALSE)</f>
        <v>Galatasaray</v>
      </c>
      <c r="W77" s="32" t="str">
        <f>VLOOKUP($W$2,Form_PrimeiraFase!$C$2:$FB$69,71,FALSE)</f>
        <v>Empate</v>
      </c>
      <c r="X77" s="33">
        <f t="shared" ref="X77:Y77" si="234">COUNTIF($C77:$W77,J77)</f>
        <v>18</v>
      </c>
      <c r="Y77" s="33">
        <f t="shared" si="234"/>
        <v>18</v>
      </c>
      <c r="Z77" s="33">
        <f t="shared" si="9"/>
        <v>18</v>
      </c>
      <c r="AA77" s="33">
        <f t="shared" si="10"/>
        <v>18</v>
      </c>
      <c r="AB77" s="33">
        <f t="shared" ref="AB77:AC77" si="235">COUNTIF($C77:$W77,N77)</f>
        <v>18</v>
      </c>
      <c r="AC77" s="33">
        <f t="shared" si="235"/>
        <v>18</v>
      </c>
      <c r="AD77" s="33">
        <f t="shared" si="12"/>
        <v>18</v>
      </c>
      <c r="AE77" s="33">
        <f t="shared" si="13"/>
        <v>18</v>
      </c>
      <c r="AF77" s="33">
        <f t="shared" si="14"/>
        <v>18</v>
      </c>
      <c r="AG77" s="33">
        <f t="shared" si="15"/>
        <v>18</v>
      </c>
      <c r="AH77" s="33">
        <f t="shared" si="16"/>
        <v>2</v>
      </c>
      <c r="AI77" s="33">
        <f t="shared" si="17"/>
        <v>18</v>
      </c>
      <c r="AJ77" s="33">
        <f t="shared" si="18"/>
        <v>18</v>
      </c>
      <c r="AK77" s="33">
        <f t="shared" si="19"/>
        <v>18</v>
      </c>
      <c r="AL77" s="33">
        <f t="shared" si="20"/>
        <v>18</v>
      </c>
      <c r="AM77" s="33">
        <f t="shared" si="21"/>
        <v>18</v>
      </c>
      <c r="AN77" s="33">
        <f t="shared" si="22"/>
        <v>18</v>
      </c>
      <c r="AO77" s="33">
        <f t="shared" ref="AO77:AR77" si="236">COUNTIF($C77:$W77,T77)</f>
        <v>18</v>
      </c>
      <c r="AP77" s="33">
        <f t="shared" si="236"/>
        <v>18</v>
      </c>
      <c r="AQ77" s="33">
        <f t="shared" si="236"/>
        <v>1</v>
      </c>
      <c r="AR77" s="33">
        <f t="shared" si="236"/>
        <v>2</v>
      </c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ht="10.5" customHeight="1">
      <c r="A78" s="30" t="s">
        <v>65</v>
      </c>
      <c r="B78" s="31" t="s">
        <v>54</v>
      </c>
      <c r="C78" s="32" t="str">
        <f>VLOOKUP($C$2,Form_PrimeiraFase!$C$2:$FB$69,72,FALSE)</f>
        <v>Empate</v>
      </c>
      <c r="D78" s="32" t="str">
        <f>VLOOKUP($D$2,Form_PrimeiraFase!$C$2:$FB$69,72,FALSE)</f>
        <v>Atalanta</v>
      </c>
      <c r="E78" s="32" t="str">
        <f>VLOOKUP($E$2,Form_PrimeiraFase!$C$2:$FB$69,72,FALSE)</f>
        <v>Olympique de Marselha</v>
      </c>
      <c r="F78" s="32" t="str">
        <f>VLOOKUP($F$2,Form_PrimeiraFase!$C$2:$FB$69,72,FALSE)</f>
        <v>Olympique de Marselha</v>
      </c>
      <c r="G78" s="32" t="str">
        <f>VLOOKUP($G$2,Form_PrimeiraFase!$C$2:$FB$69,72,FALSE)</f>
        <v>Empate</v>
      </c>
      <c r="H78" s="32" t="str">
        <f>VLOOKUP($H$2,Form_PrimeiraFase!$C$2:$FB$69,72,FALSE)</f>
        <v>Olympique de Marselha</v>
      </c>
      <c r="I78" s="32" t="str">
        <f>VLOOKUP($I$2,Form_PrimeiraFase!$C$2:$FB$69,72,FALSE)</f>
        <v>Atalanta</v>
      </c>
      <c r="J78" s="32" t="str">
        <f>VLOOKUP($J$2,Form_PrimeiraFase!$C$2:$FB$69,72,FALSE)</f>
        <v>Atalanta</v>
      </c>
      <c r="K78" s="32" t="str">
        <f>VLOOKUP($K$2,Form_PrimeiraFase!$C$2:$FB$69,72,FALSE)</f>
        <v>Olympique de Marselha</v>
      </c>
      <c r="L78" s="32" t="str">
        <f>VLOOKUP($L$2,Form_PrimeiraFase!$C$2:$FB$69,72,FALSE)</f>
        <v>Atalanta</v>
      </c>
      <c r="M78" s="32" t="str">
        <f>VLOOKUP($M$2,Form_PrimeiraFase!$C$2:$FB$69,72,FALSE)</f>
        <v>Empate</v>
      </c>
      <c r="N78" s="32" t="str">
        <f>VLOOKUP($N$2,Form_PrimeiraFase!$C$2:$FB$69,72,FALSE)</f>
        <v>Empate</v>
      </c>
      <c r="O78" s="32" t="str">
        <f>VLOOKUP($O$2,Form_PrimeiraFase!$C$2:$FB$69,72,FALSE)</f>
        <v>Olympique de Marselha</v>
      </c>
      <c r="P78" s="32" t="str">
        <f>VLOOKUP($P$2,Form_PrimeiraFase!$C$2:$FB$69,72,FALSE)</f>
        <v>Olympique de Marselha</v>
      </c>
      <c r="Q78" s="32" t="str">
        <f>VLOOKUP($Q$2,Form_PrimeiraFase!$C$2:$FB$69,72,FALSE)</f>
        <v>Atalanta</v>
      </c>
      <c r="R78" s="32" t="str">
        <f>VLOOKUP($R$2,Form_PrimeiraFase!$C$2:$FB$69,72,FALSE)</f>
        <v>Empate</v>
      </c>
      <c r="S78" s="32" t="str">
        <f>VLOOKUP($S$2,Form_PrimeiraFase!$C$2:$FB$69,72,FALSE)</f>
        <v>Empate</v>
      </c>
      <c r="T78" s="32" t="str">
        <f>VLOOKUP($T$2,Form_PrimeiraFase!$C$2:$FB$69,72,FALSE)</f>
        <v>Olympique de Marselha</v>
      </c>
      <c r="U78" s="32" t="str">
        <f>VLOOKUP($U$2,Form_PrimeiraFase!$C$2:$FB$69,72,FALSE)</f>
        <v>Atalanta</v>
      </c>
      <c r="V78" s="32" t="str">
        <f>VLOOKUP($V$2,Form_PrimeiraFase!$C$2:$FB$69,72,FALSE)</f>
        <v>Atalanta</v>
      </c>
      <c r="W78" s="32" t="str">
        <f>VLOOKUP($W$2,Form_PrimeiraFase!$C$2:$FB$69,72,FALSE)</f>
        <v>Empate</v>
      </c>
      <c r="X78" s="33">
        <f t="shared" ref="X78:Y78" si="237">COUNTIF($C78:$W78,J78)</f>
        <v>7</v>
      </c>
      <c r="Y78" s="33">
        <f t="shared" si="237"/>
        <v>7</v>
      </c>
      <c r="Z78" s="33">
        <f t="shared" si="9"/>
        <v>7</v>
      </c>
      <c r="AA78" s="33">
        <f t="shared" si="10"/>
        <v>7</v>
      </c>
      <c r="AB78" s="33">
        <f t="shared" ref="AB78:AC78" si="238">COUNTIF($C78:$W78,N78)</f>
        <v>7</v>
      </c>
      <c r="AC78" s="33">
        <f t="shared" si="238"/>
        <v>7</v>
      </c>
      <c r="AD78" s="33">
        <f t="shared" si="12"/>
        <v>7</v>
      </c>
      <c r="AE78" s="33">
        <f t="shared" si="13"/>
        <v>7</v>
      </c>
      <c r="AF78" s="33">
        <f t="shared" si="14"/>
        <v>7</v>
      </c>
      <c r="AG78" s="33">
        <f t="shared" si="15"/>
        <v>7</v>
      </c>
      <c r="AH78" s="33">
        <f t="shared" si="16"/>
        <v>7</v>
      </c>
      <c r="AI78" s="33">
        <f t="shared" si="17"/>
        <v>7</v>
      </c>
      <c r="AJ78" s="33">
        <f t="shared" si="18"/>
        <v>7</v>
      </c>
      <c r="AK78" s="33">
        <f t="shared" si="19"/>
        <v>7</v>
      </c>
      <c r="AL78" s="33">
        <f t="shared" si="20"/>
        <v>7</v>
      </c>
      <c r="AM78" s="33">
        <f t="shared" si="21"/>
        <v>7</v>
      </c>
      <c r="AN78" s="33">
        <f t="shared" si="22"/>
        <v>7</v>
      </c>
      <c r="AO78" s="33">
        <f t="shared" ref="AO78:AR78" si="239">COUNTIF($C78:$W78,T78)</f>
        <v>7</v>
      </c>
      <c r="AP78" s="33">
        <f t="shared" si="239"/>
        <v>7</v>
      </c>
      <c r="AQ78" s="33">
        <f t="shared" si="239"/>
        <v>7</v>
      </c>
      <c r="AR78" s="33">
        <f t="shared" si="239"/>
        <v>7</v>
      </c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ht="10.5" customHeight="1">
      <c r="A79" s="30" t="s">
        <v>65</v>
      </c>
      <c r="B79" s="31" t="s">
        <v>59</v>
      </c>
      <c r="C79" s="32" t="str">
        <f>VLOOKUP($C$2,Form_PrimeiraFase!$C$2:$FB$69,73,FALSE)</f>
        <v>Newcastle</v>
      </c>
      <c r="D79" s="32" t="str">
        <f>VLOOKUP($D$2,Form_PrimeiraFase!$C$2:$FB$69,73,FALSE)</f>
        <v>Newcastle</v>
      </c>
      <c r="E79" s="32" t="str">
        <f>VLOOKUP($E$2,Form_PrimeiraFase!$C$2:$FB$69,73,FALSE)</f>
        <v>Newcastle</v>
      </c>
      <c r="F79" s="32" t="str">
        <f>VLOOKUP($F$2,Form_PrimeiraFase!$C$2:$FB$69,73,FALSE)</f>
        <v>Newcastle</v>
      </c>
      <c r="G79" s="32" t="str">
        <f>VLOOKUP($G$2,Form_PrimeiraFase!$C$2:$FB$69,73,FALSE)</f>
        <v>Newcastle</v>
      </c>
      <c r="H79" s="32" t="str">
        <f>VLOOKUP($H$2,Form_PrimeiraFase!$C$2:$FB$69,73,FALSE)</f>
        <v>Newcastle</v>
      </c>
      <c r="I79" s="32" t="str">
        <f>VLOOKUP($I$2,Form_PrimeiraFase!$C$2:$FB$69,73,FALSE)</f>
        <v>Newcastle</v>
      </c>
      <c r="J79" s="32" t="str">
        <f>VLOOKUP($J$2,Form_PrimeiraFase!$C$2:$FB$69,73,FALSE)</f>
        <v>Newcastle</v>
      </c>
      <c r="K79" s="32" t="str">
        <f>VLOOKUP($K$2,Form_PrimeiraFase!$C$2:$FB$69,73,FALSE)</f>
        <v>Newcastle</v>
      </c>
      <c r="L79" s="32" t="str">
        <f>VLOOKUP($L$2,Form_PrimeiraFase!$C$2:$FB$69,73,FALSE)</f>
        <v>Newcastle</v>
      </c>
      <c r="M79" s="32" t="str">
        <f>VLOOKUP($M$2,Form_PrimeiraFase!$C$2:$FB$69,73,FALSE)</f>
        <v>Newcastle</v>
      </c>
      <c r="N79" s="32" t="str">
        <f>VLOOKUP($N$2,Form_PrimeiraFase!$C$2:$FB$69,73,FALSE)</f>
        <v>Newcastle</v>
      </c>
      <c r="O79" s="32" t="str">
        <f>VLOOKUP($O$2,Form_PrimeiraFase!$C$2:$FB$69,73,FALSE)</f>
        <v>Newcastle</v>
      </c>
      <c r="P79" s="32" t="str">
        <f>VLOOKUP($P$2,Form_PrimeiraFase!$C$2:$FB$69,73,FALSE)</f>
        <v>Empate</v>
      </c>
      <c r="Q79" s="32" t="str">
        <f>VLOOKUP($Q$2,Form_PrimeiraFase!$C$2:$FB$69,73,FALSE)</f>
        <v>Newcastle</v>
      </c>
      <c r="R79" s="32" t="str">
        <f>VLOOKUP($R$2,Form_PrimeiraFase!$C$2:$FB$69,73,FALSE)</f>
        <v>Newcastle</v>
      </c>
      <c r="S79" s="32" t="str">
        <f>VLOOKUP($S$2,Form_PrimeiraFase!$C$2:$FB$69,73,FALSE)</f>
        <v>Athletic Bilbao</v>
      </c>
      <c r="T79" s="32" t="str">
        <f>VLOOKUP($T$2,Form_PrimeiraFase!$C$2:$FB$69,73,FALSE)</f>
        <v>Newcastle</v>
      </c>
      <c r="U79" s="32" t="str">
        <f>VLOOKUP($U$2,Form_PrimeiraFase!$C$2:$FB$69,73,FALSE)</f>
        <v>Newcastle</v>
      </c>
      <c r="V79" s="32" t="str">
        <f>VLOOKUP($V$2,Form_PrimeiraFase!$C$2:$FB$69,73,FALSE)</f>
        <v>Athletic Bilbao</v>
      </c>
      <c r="W79" s="32" t="str">
        <f>VLOOKUP($W$2,Form_PrimeiraFase!$C$2:$FB$69,73,FALSE)</f>
        <v>Newcastle</v>
      </c>
      <c r="X79" s="33">
        <f t="shared" ref="X79:Y79" si="240">COUNTIF($C79:$W79,J79)</f>
        <v>18</v>
      </c>
      <c r="Y79" s="33">
        <f t="shared" si="240"/>
        <v>18</v>
      </c>
      <c r="Z79" s="33">
        <f t="shared" si="9"/>
        <v>18</v>
      </c>
      <c r="AA79" s="33">
        <f t="shared" si="10"/>
        <v>18</v>
      </c>
      <c r="AB79" s="33">
        <f t="shared" ref="AB79:AC79" si="241">COUNTIF($C79:$W79,N79)</f>
        <v>18</v>
      </c>
      <c r="AC79" s="33">
        <f t="shared" si="241"/>
        <v>18</v>
      </c>
      <c r="AD79" s="33">
        <f t="shared" si="12"/>
        <v>18</v>
      </c>
      <c r="AE79" s="33">
        <f t="shared" si="13"/>
        <v>18</v>
      </c>
      <c r="AF79" s="33">
        <f t="shared" si="14"/>
        <v>18</v>
      </c>
      <c r="AG79" s="33">
        <f t="shared" si="15"/>
        <v>2</v>
      </c>
      <c r="AH79" s="33">
        <f t="shared" si="16"/>
        <v>18</v>
      </c>
      <c r="AI79" s="33">
        <f t="shared" si="17"/>
        <v>1</v>
      </c>
      <c r="AJ79" s="33">
        <f t="shared" si="18"/>
        <v>18</v>
      </c>
      <c r="AK79" s="33">
        <f t="shared" si="19"/>
        <v>18</v>
      </c>
      <c r="AL79" s="33">
        <f t="shared" si="20"/>
        <v>18</v>
      </c>
      <c r="AM79" s="33">
        <f t="shared" si="21"/>
        <v>18</v>
      </c>
      <c r="AN79" s="33">
        <f t="shared" si="22"/>
        <v>18</v>
      </c>
      <c r="AO79" s="33">
        <f t="shared" ref="AO79:AR79" si="242">COUNTIF($C79:$W79,T79)</f>
        <v>18</v>
      </c>
      <c r="AP79" s="33">
        <f t="shared" si="242"/>
        <v>18</v>
      </c>
      <c r="AQ79" s="33">
        <f t="shared" si="242"/>
        <v>2</v>
      </c>
      <c r="AR79" s="33">
        <f t="shared" si="242"/>
        <v>18</v>
      </c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</row>
    <row r="80" ht="10.5" customHeight="1">
      <c r="A80" s="30" t="s">
        <v>69</v>
      </c>
      <c r="B80" s="31" t="s">
        <v>70</v>
      </c>
      <c r="C80" s="32" t="str">
        <f>VLOOKUP($C$2,Form_PrimeiraFase!$C$2:$FB$69,74,FALSE)</f>
        <v>Benfica</v>
      </c>
      <c r="D80" s="32" t="str">
        <f>VLOOKUP($D$2,Form_PrimeiraFase!$C$2:$FB$69,74,FALSE)</f>
        <v>Ajax</v>
      </c>
      <c r="E80" s="32" t="str">
        <f>VLOOKUP($E$2,Form_PrimeiraFase!$C$2:$FB$69,74,FALSE)</f>
        <v>Benfica</v>
      </c>
      <c r="F80" s="32" t="str">
        <f>VLOOKUP($F$2,Form_PrimeiraFase!$C$2:$FB$69,74,FALSE)</f>
        <v>Benfica</v>
      </c>
      <c r="G80" s="32" t="str">
        <f>VLOOKUP($G$2,Form_PrimeiraFase!$C$2:$FB$69,74,FALSE)</f>
        <v>Ajax</v>
      </c>
      <c r="H80" s="32" t="str">
        <f>VLOOKUP($H$2,Form_PrimeiraFase!$C$2:$FB$69,74,FALSE)</f>
        <v>Ajax</v>
      </c>
      <c r="I80" s="32" t="str">
        <f>VLOOKUP($I$2,Form_PrimeiraFase!$C$2:$FB$69,74,FALSE)</f>
        <v>Benfica</v>
      </c>
      <c r="J80" s="32" t="str">
        <f>VLOOKUP($J$2,Form_PrimeiraFase!$C$2:$FB$69,74,FALSE)</f>
        <v>Ajax</v>
      </c>
      <c r="K80" s="32" t="str">
        <f>VLOOKUP($K$2,Form_PrimeiraFase!$C$2:$FB$69,74,FALSE)</f>
        <v>Ajax</v>
      </c>
      <c r="L80" s="32" t="str">
        <f>VLOOKUP($L$2,Form_PrimeiraFase!$C$2:$FB$69,74,FALSE)</f>
        <v>Ajax</v>
      </c>
      <c r="M80" s="32" t="str">
        <f>VLOOKUP($M$2,Form_PrimeiraFase!$C$2:$FB$69,74,FALSE)</f>
        <v>Empate</v>
      </c>
      <c r="N80" s="32" t="str">
        <f>VLOOKUP($N$2,Form_PrimeiraFase!$C$2:$FB$69,74,FALSE)</f>
        <v>Ajax</v>
      </c>
      <c r="O80" s="32" t="str">
        <f>VLOOKUP($O$2,Form_PrimeiraFase!$C$2:$FB$69,74,FALSE)</f>
        <v>Empate</v>
      </c>
      <c r="P80" s="32" t="str">
        <f>VLOOKUP($P$2,Form_PrimeiraFase!$C$2:$FB$69,74,FALSE)</f>
        <v>Ajax</v>
      </c>
      <c r="Q80" s="32" t="str">
        <f>VLOOKUP($Q$2,Form_PrimeiraFase!$C$2:$FB$69,74,FALSE)</f>
        <v>Benfica</v>
      </c>
      <c r="R80" s="32" t="str">
        <f>VLOOKUP($R$2,Form_PrimeiraFase!$C$2:$FB$69,74,FALSE)</f>
        <v>Ajax</v>
      </c>
      <c r="S80" s="32" t="str">
        <f>VLOOKUP($S$2,Form_PrimeiraFase!$C$2:$FB$69,74,FALSE)</f>
        <v>Ajax</v>
      </c>
      <c r="T80" s="32" t="str">
        <f>VLOOKUP($T$2,Form_PrimeiraFase!$C$2:$FB$69,74,FALSE)</f>
        <v>Ajax</v>
      </c>
      <c r="U80" s="32" t="str">
        <f>VLOOKUP($U$2,Form_PrimeiraFase!$C$2:$FB$69,74,FALSE)</f>
        <v>Ajax</v>
      </c>
      <c r="V80" s="32" t="str">
        <f>VLOOKUP($V$2,Form_PrimeiraFase!$C$2:$FB$69,74,FALSE)</f>
        <v>Benfica</v>
      </c>
      <c r="W80" s="32" t="str">
        <f>VLOOKUP($W$2,Form_PrimeiraFase!$C$2:$FB$69,74,FALSE)</f>
        <v>Empate</v>
      </c>
      <c r="X80" s="33">
        <f t="shared" ref="X80:Y80" si="243">COUNTIF($C80:$W80,J80)</f>
        <v>12</v>
      </c>
      <c r="Y80" s="33">
        <f t="shared" si="243"/>
        <v>12</v>
      </c>
      <c r="Z80" s="33">
        <f t="shared" si="9"/>
        <v>12</v>
      </c>
      <c r="AA80" s="33">
        <f t="shared" si="10"/>
        <v>12</v>
      </c>
      <c r="AB80" s="33">
        <f t="shared" ref="AB80:AC80" si="244">COUNTIF($C80:$W80,N80)</f>
        <v>12</v>
      </c>
      <c r="AC80" s="33">
        <f t="shared" si="244"/>
        <v>3</v>
      </c>
      <c r="AD80" s="33">
        <f t="shared" si="12"/>
        <v>12</v>
      </c>
      <c r="AE80" s="33">
        <f t="shared" si="13"/>
        <v>6</v>
      </c>
      <c r="AF80" s="33">
        <f t="shared" si="14"/>
        <v>6</v>
      </c>
      <c r="AG80" s="33">
        <f t="shared" si="15"/>
        <v>12</v>
      </c>
      <c r="AH80" s="33">
        <f t="shared" si="16"/>
        <v>6</v>
      </c>
      <c r="AI80" s="33">
        <f t="shared" si="17"/>
        <v>12</v>
      </c>
      <c r="AJ80" s="33">
        <f t="shared" si="18"/>
        <v>3</v>
      </c>
      <c r="AK80" s="33">
        <f t="shared" si="19"/>
        <v>6</v>
      </c>
      <c r="AL80" s="33">
        <f t="shared" si="20"/>
        <v>6</v>
      </c>
      <c r="AM80" s="33">
        <f t="shared" si="21"/>
        <v>12</v>
      </c>
      <c r="AN80" s="33">
        <f t="shared" si="22"/>
        <v>12</v>
      </c>
      <c r="AO80" s="33">
        <f t="shared" ref="AO80:AR80" si="245">COUNTIF($C80:$W80,T80)</f>
        <v>12</v>
      </c>
      <c r="AP80" s="33">
        <f t="shared" si="245"/>
        <v>12</v>
      </c>
      <c r="AQ80" s="33">
        <f t="shared" si="245"/>
        <v>6</v>
      </c>
      <c r="AR80" s="33">
        <f t="shared" si="245"/>
        <v>3</v>
      </c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</row>
    <row r="81" ht="10.5" customHeight="1">
      <c r="A81" s="30" t="s">
        <v>69</v>
      </c>
      <c r="B81" s="32" t="s">
        <v>38</v>
      </c>
      <c r="C81" s="32" t="str">
        <f>VLOOKUP($C$2,Form_PrimeiraFase!$C$2:$FB$69,75,FALSE)</f>
        <v>Galatasaray</v>
      </c>
      <c r="D81" s="32" t="str">
        <f>VLOOKUP($D$2,Form_PrimeiraFase!$C$2:$FB$69,75,FALSE)</f>
        <v>Galatasaray</v>
      </c>
      <c r="E81" s="32" t="str">
        <f>VLOOKUP($E$2,Form_PrimeiraFase!$C$2:$FB$69,75,FALSE)</f>
        <v>Galatasaray</v>
      </c>
      <c r="F81" s="32" t="str">
        <f>VLOOKUP($F$2,Form_PrimeiraFase!$C$2:$FB$69,75,FALSE)</f>
        <v>Galatasaray</v>
      </c>
      <c r="G81" s="32" t="str">
        <f>VLOOKUP($G$2,Form_PrimeiraFase!$C$2:$FB$69,75,FALSE)</f>
        <v>Galatasaray</v>
      </c>
      <c r="H81" s="32" t="str">
        <f>VLOOKUP($H$2,Form_PrimeiraFase!$C$2:$FB$69,75,FALSE)</f>
        <v>Galatasaray</v>
      </c>
      <c r="I81" s="32" t="str">
        <f>VLOOKUP($I$2,Form_PrimeiraFase!$C$2:$FB$69,75,FALSE)</f>
        <v>Galatasaray</v>
      </c>
      <c r="J81" s="32" t="str">
        <f>VLOOKUP($J$2,Form_PrimeiraFase!$C$2:$FB$69,75,FALSE)</f>
        <v>Galatasaray</v>
      </c>
      <c r="K81" s="32" t="str">
        <f>VLOOKUP($K$2,Form_PrimeiraFase!$C$2:$FB$69,75,FALSE)</f>
        <v>Galatasaray</v>
      </c>
      <c r="L81" s="32" t="str">
        <f>VLOOKUP($L$2,Form_PrimeiraFase!$C$2:$FB$69,75,FALSE)</f>
        <v>Galatasaray</v>
      </c>
      <c r="M81" s="32" t="str">
        <f>VLOOKUP($M$2,Form_PrimeiraFase!$C$2:$FB$69,75,FALSE)</f>
        <v>Galatasaray</v>
      </c>
      <c r="N81" s="32" t="str">
        <f>VLOOKUP($N$2,Form_PrimeiraFase!$C$2:$FB$69,75,FALSE)</f>
        <v>Galatasaray</v>
      </c>
      <c r="O81" s="32" t="str">
        <f>VLOOKUP($O$2,Form_PrimeiraFase!$C$2:$FB$69,75,FALSE)</f>
        <v>Galatasaray</v>
      </c>
      <c r="P81" s="32" t="str">
        <f>VLOOKUP($P$2,Form_PrimeiraFase!$C$2:$FB$69,75,FALSE)</f>
        <v>Galatasaray</v>
      </c>
      <c r="Q81" s="32" t="str">
        <f>VLOOKUP($Q$2,Form_PrimeiraFase!$C$2:$FB$69,75,FALSE)</f>
        <v>Galatasaray</v>
      </c>
      <c r="R81" s="32" t="str">
        <f>VLOOKUP($R$2,Form_PrimeiraFase!$C$2:$FB$69,75,FALSE)</f>
        <v>Galatasaray</v>
      </c>
      <c r="S81" s="32" t="str">
        <f>VLOOKUP($S$2,Form_PrimeiraFase!$C$2:$FB$69,75,FALSE)</f>
        <v>Galatasaray</v>
      </c>
      <c r="T81" s="32" t="str">
        <f>VLOOKUP($T$2,Form_PrimeiraFase!$C$2:$FB$69,75,FALSE)</f>
        <v>Galatasaray</v>
      </c>
      <c r="U81" s="32" t="str">
        <f>VLOOKUP($U$2,Form_PrimeiraFase!$C$2:$FB$69,75,FALSE)</f>
        <v>Empate</v>
      </c>
      <c r="V81" s="32" t="str">
        <f>VLOOKUP($V$2,Form_PrimeiraFase!$C$2:$FB$69,75,FALSE)</f>
        <v>Galatasaray</v>
      </c>
      <c r="W81" s="32" t="str">
        <f>VLOOKUP($W$2,Form_PrimeiraFase!$C$2:$FB$69,75,FALSE)</f>
        <v>Galatasaray</v>
      </c>
      <c r="X81" s="33">
        <f t="shared" ref="X81:Y81" si="246">COUNTIF($C81:$W81,J81)</f>
        <v>20</v>
      </c>
      <c r="Y81" s="33">
        <f t="shared" si="246"/>
        <v>20</v>
      </c>
      <c r="Z81" s="33">
        <f t="shared" si="9"/>
        <v>20</v>
      </c>
      <c r="AA81" s="33">
        <f t="shared" si="10"/>
        <v>20</v>
      </c>
      <c r="AB81" s="33">
        <f t="shared" ref="AB81:AC81" si="247">COUNTIF($C81:$W81,N81)</f>
        <v>20</v>
      </c>
      <c r="AC81" s="33">
        <f t="shared" si="247"/>
        <v>20</v>
      </c>
      <c r="AD81" s="33">
        <f t="shared" si="12"/>
        <v>20</v>
      </c>
      <c r="AE81" s="33">
        <f t="shared" si="13"/>
        <v>20</v>
      </c>
      <c r="AF81" s="33">
        <f t="shared" si="14"/>
        <v>20</v>
      </c>
      <c r="AG81" s="33">
        <f t="shared" si="15"/>
        <v>20</v>
      </c>
      <c r="AH81" s="33">
        <f t="shared" si="16"/>
        <v>20</v>
      </c>
      <c r="AI81" s="33">
        <f t="shared" si="17"/>
        <v>20</v>
      </c>
      <c r="AJ81" s="33">
        <f t="shared" si="18"/>
        <v>20</v>
      </c>
      <c r="AK81" s="33">
        <f t="shared" si="19"/>
        <v>20</v>
      </c>
      <c r="AL81" s="33">
        <f t="shared" si="20"/>
        <v>20</v>
      </c>
      <c r="AM81" s="33">
        <f t="shared" si="21"/>
        <v>20</v>
      </c>
      <c r="AN81" s="33">
        <f t="shared" si="22"/>
        <v>20</v>
      </c>
      <c r="AO81" s="33">
        <f t="shared" ref="AO81:AR81" si="248">COUNTIF($C81:$W81,T81)</f>
        <v>20</v>
      </c>
      <c r="AP81" s="33">
        <f t="shared" si="248"/>
        <v>1</v>
      </c>
      <c r="AQ81" s="33">
        <f t="shared" si="248"/>
        <v>20</v>
      </c>
      <c r="AR81" s="33">
        <f t="shared" si="248"/>
        <v>20</v>
      </c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ht="10.5" customHeight="1">
      <c r="A82" s="30" t="s">
        <v>69</v>
      </c>
      <c r="B82" s="31" t="s">
        <v>68</v>
      </c>
      <c r="C82" s="32" t="str">
        <f>VLOOKUP($C$2,Form_PrimeiraFase!$C$2:$FB$69,76,FALSE)</f>
        <v>Manchester City</v>
      </c>
      <c r="D82" s="32" t="str">
        <f>VLOOKUP($D$2,Form_PrimeiraFase!$C$2:$FB$69,76,FALSE)</f>
        <v>Manchester City</v>
      </c>
      <c r="E82" s="32" t="str">
        <f>VLOOKUP($E$2,Form_PrimeiraFase!$C$2:$FB$69,76,FALSE)</f>
        <v>Manchester City</v>
      </c>
      <c r="F82" s="32" t="str">
        <f>VLOOKUP($F$2,Form_PrimeiraFase!$C$2:$FB$69,76,FALSE)</f>
        <v>Manchester City</v>
      </c>
      <c r="G82" s="32" t="str">
        <f>VLOOKUP($G$2,Form_PrimeiraFase!$C$2:$FB$69,76,FALSE)</f>
        <v>Manchester City</v>
      </c>
      <c r="H82" s="32" t="str">
        <f>VLOOKUP($H$2,Form_PrimeiraFase!$C$2:$FB$69,76,FALSE)</f>
        <v>Manchester City</v>
      </c>
      <c r="I82" s="32" t="str">
        <f>VLOOKUP($I$2,Form_PrimeiraFase!$C$2:$FB$69,76,FALSE)</f>
        <v>Manchester City</v>
      </c>
      <c r="J82" s="32" t="str">
        <f>VLOOKUP($J$2,Form_PrimeiraFase!$C$2:$FB$69,76,FALSE)</f>
        <v>Manchester City</v>
      </c>
      <c r="K82" s="32" t="str">
        <f>VLOOKUP($K$2,Form_PrimeiraFase!$C$2:$FB$69,76,FALSE)</f>
        <v>Manchester City</v>
      </c>
      <c r="L82" s="32" t="str">
        <f>VLOOKUP($L$2,Form_PrimeiraFase!$C$2:$FB$69,76,FALSE)</f>
        <v>Manchester City</v>
      </c>
      <c r="M82" s="32" t="str">
        <f>VLOOKUP($M$2,Form_PrimeiraFase!$C$2:$FB$69,76,FALSE)</f>
        <v>Manchester City</v>
      </c>
      <c r="N82" s="32" t="str">
        <f>VLOOKUP($N$2,Form_PrimeiraFase!$C$2:$FB$69,76,FALSE)</f>
        <v>Manchester City</v>
      </c>
      <c r="O82" s="32" t="str">
        <f>VLOOKUP($O$2,Form_PrimeiraFase!$C$2:$FB$69,76,FALSE)</f>
        <v>Manchester City</v>
      </c>
      <c r="P82" s="32" t="str">
        <f>VLOOKUP($P$2,Form_PrimeiraFase!$C$2:$FB$69,76,FALSE)</f>
        <v>Manchester City</v>
      </c>
      <c r="Q82" s="32" t="str">
        <f>VLOOKUP($Q$2,Form_PrimeiraFase!$C$2:$FB$69,76,FALSE)</f>
        <v>Manchester City</v>
      </c>
      <c r="R82" s="32" t="str">
        <f>VLOOKUP($R$2,Form_PrimeiraFase!$C$2:$FB$69,76,FALSE)</f>
        <v>Manchester City</v>
      </c>
      <c r="S82" s="32" t="str">
        <f>VLOOKUP($S$2,Form_PrimeiraFase!$C$2:$FB$69,76,FALSE)</f>
        <v>Manchester City</v>
      </c>
      <c r="T82" s="32" t="str">
        <f>VLOOKUP($T$2,Form_PrimeiraFase!$C$2:$FB$69,76,FALSE)</f>
        <v>Manchester City</v>
      </c>
      <c r="U82" s="32" t="str">
        <f>VLOOKUP($U$2,Form_PrimeiraFase!$C$2:$FB$69,76,FALSE)</f>
        <v>Manchester City</v>
      </c>
      <c r="V82" s="32" t="str">
        <f>VLOOKUP($V$2,Form_PrimeiraFase!$C$2:$FB$69,76,FALSE)</f>
        <v>Manchester City</v>
      </c>
      <c r="W82" s="32" t="str">
        <f>VLOOKUP($W$2,Form_PrimeiraFase!$C$2:$FB$69,76,FALSE)</f>
        <v>Manchester City</v>
      </c>
      <c r="X82" s="33">
        <f t="shared" ref="X82:Y82" si="249">COUNTIF($C82:$W82,J82)</f>
        <v>21</v>
      </c>
      <c r="Y82" s="33">
        <f t="shared" si="249"/>
        <v>21</v>
      </c>
      <c r="Z82" s="33">
        <f t="shared" si="9"/>
        <v>21</v>
      </c>
      <c r="AA82" s="33">
        <f t="shared" si="10"/>
        <v>21</v>
      </c>
      <c r="AB82" s="33">
        <f t="shared" ref="AB82:AC82" si="250">COUNTIF($C82:$W82,N82)</f>
        <v>21</v>
      </c>
      <c r="AC82" s="33">
        <f t="shared" si="250"/>
        <v>21</v>
      </c>
      <c r="AD82" s="33">
        <f t="shared" si="12"/>
        <v>21</v>
      </c>
      <c r="AE82" s="33">
        <f t="shared" si="13"/>
        <v>21</v>
      </c>
      <c r="AF82" s="33">
        <f t="shared" si="14"/>
        <v>21</v>
      </c>
      <c r="AG82" s="33">
        <f t="shared" si="15"/>
        <v>21</v>
      </c>
      <c r="AH82" s="33">
        <f t="shared" si="16"/>
        <v>21</v>
      </c>
      <c r="AI82" s="33">
        <f t="shared" si="17"/>
        <v>21</v>
      </c>
      <c r="AJ82" s="33">
        <f t="shared" si="18"/>
        <v>21</v>
      </c>
      <c r="AK82" s="33">
        <f t="shared" si="19"/>
        <v>21</v>
      </c>
      <c r="AL82" s="33">
        <f t="shared" si="20"/>
        <v>21</v>
      </c>
      <c r="AM82" s="33">
        <f t="shared" si="21"/>
        <v>21</v>
      </c>
      <c r="AN82" s="33">
        <f t="shared" si="22"/>
        <v>21</v>
      </c>
      <c r="AO82" s="33">
        <f t="shared" ref="AO82:AR82" si="251">COUNTIF($C82:$W82,T82)</f>
        <v>21</v>
      </c>
      <c r="AP82" s="33">
        <f t="shared" si="251"/>
        <v>21</v>
      </c>
      <c r="AQ82" s="33">
        <f t="shared" si="251"/>
        <v>21</v>
      </c>
      <c r="AR82" s="33">
        <f t="shared" si="251"/>
        <v>21</v>
      </c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</row>
    <row r="83" ht="10.5" customHeight="1">
      <c r="A83" s="30" t="s">
        <v>69</v>
      </c>
      <c r="B83" s="31" t="s">
        <v>55</v>
      </c>
      <c r="C83" s="32" t="str">
        <f>VLOOKUP($C$2,Form_PrimeiraFase!$C$2:$FB$69,77,FALSE)</f>
        <v>Empate</v>
      </c>
      <c r="D83" s="32" t="str">
        <f>VLOOKUP($D$2,Form_PrimeiraFase!$C$2:$FB$69,77,FALSE)</f>
        <v>Chelsea</v>
      </c>
      <c r="E83" s="32" t="str">
        <f>VLOOKUP($E$2,Form_PrimeiraFase!$C$2:$FB$69,77,FALSE)</f>
        <v>Empate</v>
      </c>
      <c r="F83" s="32" t="str">
        <f>VLOOKUP($F$2,Form_PrimeiraFase!$C$2:$FB$69,77,FALSE)</f>
        <v>Barcelona</v>
      </c>
      <c r="G83" s="32" t="str">
        <f>VLOOKUP($G$2,Form_PrimeiraFase!$C$2:$FB$69,77,FALSE)</f>
        <v>Chelsea</v>
      </c>
      <c r="H83" s="32" t="str">
        <f>VLOOKUP($H$2,Form_PrimeiraFase!$C$2:$FB$69,77,FALSE)</f>
        <v>Chelsea</v>
      </c>
      <c r="I83" s="32" t="str">
        <f>VLOOKUP($I$2,Form_PrimeiraFase!$C$2:$FB$69,77,FALSE)</f>
        <v>Chelsea</v>
      </c>
      <c r="J83" s="32" t="str">
        <f>VLOOKUP($J$2,Form_PrimeiraFase!$C$2:$FB$69,77,FALSE)</f>
        <v>Chelsea</v>
      </c>
      <c r="K83" s="32" t="str">
        <f>VLOOKUP($K$2,Form_PrimeiraFase!$C$2:$FB$69,77,FALSE)</f>
        <v>Barcelona</v>
      </c>
      <c r="L83" s="32" t="str">
        <f>VLOOKUP($L$2,Form_PrimeiraFase!$C$2:$FB$69,77,FALSE)</f>
        <v>Chelsea</v>
      </c>
      <c r="M83" s="32" t="str">
        <f>VLOOKUP($M$2,Form_PrimeiraFase!$C$2:$FB$69,77,FALSE)</f>
        <v>Chelsea</v>
      </c>
      <c r="N83" s="32" t="str">
        <f>VLOOKUP($N$2,Form_PrimeiraFase!$C$2:$FB$69,77,FALSE)</f>
        <v>Empate</v>
      </c>
      <c r="O83" s="32" t="str">
        <f>VLOOKUP($O$2,Form_PrimeiraFase!$C$2:$FB$69,77,FALSE)</f>
        <v>Barcelona</v>
      </c>
      <c r="P83" s="32" t="str">
        <f>VLOOKUP($P$2,Form_PrimeiraFase!$C$2:$FB$69,77,FALSE)</f>
        <v>Chelsea</v>
      </c>
      <c r="Q83" s="32" t="str">
        <f>VLOOKUP($Q$2,Form_PrimeiraFase!$C$2:$FB$69,77,FALSE)</f>
        <v>Chelsea</v>
      </c>
      <c r="R83" s="32" t="str">
        <f>VLOOKUP($R$2,Form_PrimeiraFase!$C$2:$FB$69,77,FALSE)</f>
        <v>Barcelona</v>
      </c>
      <c r="S83" s="32" t="str">
        <f>VLOOKUP($S$2,Form_PrimeiraFase!$C$2:$FB$69,77,FALSE)</f>
        <v>Empate</v>
      </c>
      <c r="T83" s="32" t="str">
        <f>VLOOKUP($T$2,Form_PrimeiraFase!$C$2:$FB$69,77,FALSE)</f>
        <v>Chelsea</v>
      </c>
      <c r="U83" s="32" t="str">
        <f>VLOOKUP($U$2,Form_PrimeiraFase!$C$2:$FB$69,77,FALSE)</f>
        <v>Chelsea</v>
      </c>
      <c r="V83" s="32" t="str">
        <f>VLOOKUP($V$2,Form_PrimeiraFase!$C$2:$FB$69,77,FALSE)</f>
        <v>Chelsea</v>
      </c>
      <c r="W83" s="32" t="str">
        <f>VLOOKUP($W$2,Form_PrimeiraFase!$C$2:$FB$69,77,FALSE)</f>
        <v>Empate</v>
      </c>
      <c r="X83" s="33">
        <f t="shared" ref="X83:Y83" si="252">COUNTIF($C83:$W83,J83)</f>
        <v>12</v>
      </c>
      <c r="Y83" s="33">
        <f t="shared" si="252"/>
        <v>4</v>
      </c>
      <c r="Z83" s="33">
        <f t="shared" si="9"/>
        <v>4</v>
      </c>
      <c r="AA83" s="33">
        <f t="shared" si="10"/>
        <v>12</v>
      </c>
      <c r="AB83" s="33">
        <f t="shared" ref="AB83:AC83" si="253">COUNTIF($C83:$W83,N83)</f>
        <v>5</v>
      </c>
      <c r="AC83" s="33">
        <f t="shared" si="253"/>
        <v>4</v>
      </c>
      <c r="AD83" s="33">
        <f t="shared" si="12"/>
        <v>12</v>
      </c>
      <c r="AE83" s="33">
        <f t="shared" si="13"/>
        <v>4</v>
      </c>
      <c r="AF83" s="33">
        <f t="shared" si="14"/>
        <v>5</v>
      </c>
      <c r="AG83" s="33">
        <f t="shared" si="15"/>
        <v>5</v>
      </c>
      <c r="AH83" s="33">
        <f t="shared" si="16"/>
        <v>5</v>
      </c>
      <c r="AI83" s="33">
        <f t="shared" si="17"/>
        <v>12</v>
      </c>
      <c r="AJ83" s="33">
        <f t="shared" si="18"/>
        <v>12</v>
      </c>
      <c r="AK83" s="33">
        <f t="shared" si="19"/>
        <v>12</v>
      </c>
      <c r="AL83" s="33">
        <f t="shared" si="20"/>
        <v>12</v>
      </c>
      <c r="AM83" s="33">
        <f t="shared" si="21"/>
        <v>12</v>
      </c>
      <c r="AN83" s="33">
        <f t="shared" si="22"/>
        <v>12</v>
      </c>
      <c r="AO83" s="33">
        <f t="shared" ref="AO83:AR83" si="254">COUNTIF($C83:$W83,T83)</f>
        <v>12</v>
      </c>
      <c r="AP83" s="33">
        <f t="shared" si="254"/>
        <v>12</v>
      </c>
      <c r="AQ83" s="33">
        <f t="shared" si="254"/>
        <v>12</v>
      </c>
      <c r="AR83" s="33">
        <f t="shared" si="254"/>
        <v>5</v>
      </c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ht="10.5" customHeight="1">
      <c r="A84" s="30" t="s">
        <v>69</v>
      </c>
      <c r="B84" s="31" t="s">
        <v>61</v>
      </c>
      <c r="C84" s="32" t="str">
        <f>VLOOKUP($C$2,Form_PrimeiraFase!$C$2:$FB$69,78,FALSE)</f>
        <v>Borussia Dortmund</v>
      </c>
      <c r="D84" s="32" t="str">
        <f>VLOOKUP($D$2,Form_PrimeiraFase!$C$2:$FB$69,78,FALSE)</f>
        <v>Borussia Dortmund</v>
      </c>
      <c r="E84" s="32" t="str">
        <f>VLOOKUP($E$2,Form_PrimeiraFase!$C$2:$FB$69,78,FALSE)</f>
        <v>Borussia Dortmund</v>
      </c>
      <c r="F84" s="32" t="str">
        <f>VLOOKUP($F$2,Form_PrimeiraFase!$C$2:$FB$69,78,FALSE)</f>
        <v>Borussia Dortmund</v>
      </c>
      <c r="G84" s="32" t="str">
        <f>VLOOKUP($G$2,Form_PrimeiraFase!$C$2:$FB$69,78,FALSE)</f>
        <v>Borussia Dortmund</v>
      </c>
      <c r="H84" s="32" t="str">
        <f>VLOOKUP($H$2,Form_PrimeiraFase!$C$2:$FB$69,78,FALSE)</f>
        <v>Borussia Dortmund</v>
      </c>
      <c r="I84" s="32" t="str">
        <f>VLOOKUP($I$2,Form_PrimeiraFase!$C$2:$FB$69,78,FALSE)</f>
        <v>Borussia Dortmund</v>
      </c>
      <c r="J84" s="32" t="str">
        <f>VLOOKUP($J$2,Form_PrimeiraFase!$C$2:$FB$69,78,FALSE)</f>
        <v>Borussia Dortmund</v>
      </c>
      <c r="K84" s="32" t="str">
        <f>VLOOKUP($K$2,Form_PrimeiraFase!$C$2:$FB$69,78,FALSE)</f>
        <v>Borussia Dortmund</v>
      </c>
      <c r="L84" s="32" t="str">
        <f>VLOOKUP($L$2,Form_PrimeiraFase!$C$2:$FB$69,78,FALSE)</f>
        <v>Borussia Dortmund</v>
      </c>
      <c r="M84" s="32" t="str">
        <f>VLOOKUP($M$2,Form_PrimeiraFase!$C$2:$FB$69,78,FALSE)</f>
        <v>Borussia Dortmund</v>
      </c>
      <c r="N84" s="32" t="str">
        <f>VLOOKUP($N$2,Form_PrimeiraFase!$C$2:$FB$69,78,FALSE)</f>
        <v>Borussia Dortmund</v>
      </c>
      <c r="O84" s="32" t="str">
        <f>VLOOKUP($O$2,Form_PrimeiraFase!$C$2:$FB$69,78,FALSE)</f>
        <v>Borussia Dortmund</v>
      </c>
      <c r="P84" s="32" t="str">
        <f>VLOOKUP($P$2,Form_PrimeiraFase!$C$2:$FB$69,78,FALSE)</f>
        <v>Borussia Dortmund</v>
      </c>
      <c r="Q84" s="32" t="str">
        <f>VLOOKUP($Q$2,Form_PrimeiraFase!$C$2:$FB$69,78,FALSE)</f>
        <v>Villarreal</v>
      </c>
      <c r="R84" s="32" t="str">
        <f>VLOOKUP($R$2,Form_PrimeiraFase!$C$2:$FB$69,78,FALSE)</f>
        <v>Borussia Dortmund</v>
      </c>
      <c r="S84" s="32" t="str">
        <f>VLOOKUP($S$2,Form_PrimeiraFase!$C$2:$FB$69,78,FALSE)</f>
        <v>Borussia Dortmund</v>
      </c>
      <c r="T84" s="32" t="str">
        <f>VLOOKUP($T$2,Form_PrimeiraFase!$C$2:$FB$69,78,FALSE)</f>
        <v>Borussia Dortmund</v>
      </c>
      <c r="U84" s="32" t="str">
        <f>VLOOKUP($U$2,Form_PrimeiraFase!$C$2:$FB$69,78,FALSE)</f>
        <v>Borussia Dortmund</v>
      </c>
      <c r="V84" s="32" t="str">
        <f>VLOOKUP($V$2,Form_PrimeiraFase!$C$2:$FB$69,78,FALSE)</f>
        <v>Borussia Dortmund</v>
      </c>
      <c r="W84" s="32" t="str">
        <f>VLOOKUP($W$2,Form_PrimeiraFase!$C$2:$FB$69,78,FALSE)</f>
        <v>Borussia Dortmund</v>
      </c>
      <c r="X84" s="33">
        <f t="shared" ref="X84:Y84" si="255">COUNTIF($C84:$W84,J84)</f>
        <v>20</v>
      </c>
      <c r="Y84" s="33">
        <f t="shared" si="255"/>
        <v>20</v>
      </c>
      <c r="Z84" s="33">
        <f t="shared" si="9"/>
        <v>20</v>
      </c>
      <c r="AA84" s="33">
        <f t="shared" si="10"/>
        <v>20</v>
      </c>
      <c r="AB84" s="33">
        <f t="shared" ref="AB84:AC84" si="256">COUNTIF($C84:$W84,N84)</f>
        <v>20</v>
      </c>
      <c r="AC84" s="33">
        <f t="shared" si="256"/>
        <v>20</v>
      </c>
      <c r="AD84" s="33">
        <f t="shared" si="12"/>
        <v>20</v>
      </c>
      <c r="AE84" s="33">
        <f t="shared" si="13"/>
        <v>20</v>
      </c>
      <c r="AF84" s="33">
        <f t="shared" si="14"/>
        <v>20</v>
      </c>
      <c r="AG84" s="33">
        <f t="shared" si="15"/>
        <v>20</v>
      </c>
      <c r="AH84" s="33">
        <f t="shared" si="16"/>
        <v>20</v>
      </c>
      <c r="AI84" s="33">
        <f t="shared" si="17"/>
        <v>20</v>
      </c>
      <c r="AJ84" s="33">
        <f t="shared" si="18"/>
        <v>20</v>
      </c>
      <c r="AK84" s="33">
        <f t="shared" si="19"/>
        <v>20</v>
      </c>
      <c r="AL84" s="33">
        <f t="shared" si="20"/>
        <v>1</v>
      </c>
      <c r="AM84" s="33">
        <f t="shared" si="21"/>
        <v>20</v>
      </c>
      <c r="AN84" s="33">
        <f t="shared" si="22"/>
        <v>20</v>
      </c>
      <c r="AO84" s="33">
        <f t="shared" ref="AO84:AR84" si="257">COUNTIF($C84:$W84,T84)</f>
        <v>20</v>
      </c>
      <c r="AP84" s="33">
        <f t="shared" si="257"/>
        <v>20</v>
      </c>
      <c r="AQ84" s="33">
        <f t="shared" si="257"/>
        <v>20</v>
      </c>
      <c r="AR84" s="33">
        <f t="shared" si="257"/>
        <v>20</v>
      </c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</row>
    <row r="85" ht="10.5" customHeight="1">
      <c r="A85" s="30" t="s">
        <v>69</v>
      </c>
      <c r="B85" s="31" t="s">
        <v>60</v>
      </c>
      <c r="C85" s="32" t="str">
        <f>VLOOKUP($C$2,Form_PrimeiraFase!$C$2:$FB$69,79,FALSE)</f>
        <v>Napoli</v>
      </c>
      <c r="D85" s="32" t="str">
        <f>VLOOKUP($D$2,Form_PrimeiraFase!$C$2:$FB$69,79,FALSE)</f>
        <v>Napoli</v>
      </c>
      <c r="E85" s="32" t="str">
        <f>VLOOKUP($E$2,Form_PrimeiraFase!$C$2:$FB$69,79,FALSE)</f>
        <v>Napoli</v>
      </c>
      <c r="F85" s="32" t="str">
        <f>VLOOKUP($F$2,Form_PrimeiraFase!$C$2:$FB$69,79,FALSE)</f>
        <v>Napoli</v>
      </c>
      <c r="G85" s="32" t="str">
        <f>VLOOKUP($G$2,Form_PrimeiraFase!$C$2:$FB$69,79,FALSE)</f>
        <v>Napoli</v>
      </c>
      <c r="H85" s="32" t="str">
        <f>VLOOKUP($H$2,Form_PrimeiraFase!$C$2:$FB$69,79,FALSE)</f>
        <v>Napoli</v>
      </c>
      <c r="I85" s="32" t="str">
        <f>VLOOKUP($I$2,Form_PrimeiraFase!$C$2:$FB$69,79,FALSE)</f>
        <v>Napoli</v>
      </c>
      <c r="J85" s="32" t="str">
        <f>VLOOKUP($J$2,Form_PrimeiraFase!$C$2:$FB$69,79,FALSE)</f>
        <v>Napoli</v>
      </c>
      <c r="K85" s="32" t="str">
        <f>VLOOKUP($K$2,Form_PrimeiraFase!$C$2:$FB$69,79,FALSE)</f>
        <v>Napoli</v>
      </c>
      <c r="L85" s="32" t="str">
        <f>VLOOKUP($L$2,Form_PrimeiraFase!$C$2:$FB$69,79,FALSE)</f>
        <v>Napoli</v>
      </c>
      <c r="M85" s="32" t="str">
        <f>VLOOKUP($M$2,Form_PrimeiraFase!$C$2:$FB$69,79,FALSE)</f>
        <v>Napoli</v>
      </c>
      <c r="N85" s="32" t="str">
        <f>VLOOKUP($N$2,Form_PrimeiraFase!$C$2:$FB$69,79,FALSE)</f>
        <v>Napoli</v>
      </c>
      <c r="O85" s="32" t="str">
        <f>VLOOKUP($O$2,Form_PrimeiraFase!$C$2:$FB$69,79,FALSE)</f>
        <v>Napoli</v>
      </c>
      <c r="P85" s="32" t="str">
        <f>VLOOKUP($P$2,Form_PrimeiraFase!$C$2:$FB$69,79,FALSE)</f>
        <v>Napoli</v>
      </c>
      <c r="Q85" s="32" t="str">
        <f>VLOOKUP($Q$2,Form_PrimeiraFase!$C$2:$FB$69,79,FALSE)</f>
        <v>Napoli</v>
      </c>
      <c r="R85" s="32" t="str">
        <f>VLOOKUP($R$2,Form_PrimeiraFase!$C$2:$FB$69,79,FALSE)</f>
        <v>Napoli</v>
      </c>
      <c r="S85" s="32" t="str">
        <f>VLOOKUP($S$2,Form_PrimeiraFase!$C$2:$FB$69,79,FALSE)</f>
        <v>Napoli</v>
      </c>
      <c r="T85" s="32" t="str">
        <f>VLOOKUP($T$2,Form_PrimeiraFase!$C$2:$FB$69,79,FALSE)</f>
        <v>Napoli</v>
      </c>
      <c r="U85" s="32" t="str">
        <f>VLOOKUP($U$2,Form_PrimeiraFase!$C$2:$FB$69,79,FALSE)</f>
        <v>Napoli</v>
      </c>
      <c r="V85" s="32" t="str">
        <f>VLOOKUP($V$2,Form_PrimeiraFase!$C$2:$FB$69,79,FALSE)</f>
        <v>Empate</v>
      </c>
      <c r="W85" s="32" t="str">
        <f>VLOOKUP($W$2,Form_PrimeiraFase!$C$2:$FB$69,79,FALSE)</f>
        <v>Napoli</v>
      </c>
      <c r="X85" s="33">
        <f t="shared" ref="X85:Y85" si="258">COUNTIF($C85:$W85,J85)</f>
        <v>20</v>
      </c>
      <c r="Y85" s="33">
        <f t="shared" si="258"/>
        <v>20</v>
      </c>
      <c r="Z85" s="33">
        <f t="shared" si="9"/>
        <v>20</v>
      </c>
      <c r="AA85" s="33">
        <f t="shared" si="10"/>
        <v>20</v>
      </c>
      <c r="AB85" s="33">
        <f t="shared" ref="AB85:AC85" si="259">COUNTIF($C85:$W85,N85)</f>
        <v>20</v>
      </c>
      <c r="AC85" s="33">
        <f t="shared" si="259"/>
        <v>20</v>
      </c>
      <c r="AD85" s="33">
        <f t="shared" si="12"/>
        <v>20</v>
      </c>
      <c r="AE85" s="33">
        <f t="shared" si="13"/>
        <v>20</v>
      </c>
      <c r="AF85" s="33">
        <f t="shared" si="14"/>
        <v>20</v>
      </c>
      <c r="AG85" s="33">
        <f t="shared" si="15"/>
        <v>20</v>
      </c>
      <c r="AH85" s="33">
        <f t="shared" si="16"/>
        <v>20</v>
      </c>
      <c r="AI85" s="33">
        <f t="shared" si="17"/>
        <v>20</v>
      </c>
      <c r="AJ85" s="33">
        <f t="shared" si="18"/>
        <v>20</v>
      </c>
      <c r="AK85" s="33">
        <f t="shared" si="19"/>
        <v>20</v>
      </c>
      <c r="AL85" s="33">
        <f t="shared" si="20"/>
        <v>20</v>
      </c>
      <c r="AM85" s="33">
        <f t="shared" si="21"/>
        <v>20</v>
      </c>
      <c r="AN85" s="33">
        <f t="shared" si="22"/>
        <v>20</v>
      </c>
      <c r="AO85" s="33">
        <f t="shared" ref="AO85:AR85" si="260">COUNTIF($C85:$W85,T85)</f>
        <v>20</v>
      </c>
      <c r="AP85" s="33">
        <f t="shared" si="260"/>
        <v>20</v>
      </c>
      <c r="AQ85" s="33">
        <f t="shared" si="260"/>
        <v>1</v>
      </c>
      <c r="AR85" s="33">
        <f t="shared" si="260"/>
        <v>20</v>
      </c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</row>
    <row r="86" ht="10.5" customHeight="1">
      <c r="A86" s="30" t="s">
        <v>69</v>
      </c>
      <c r="B86" s="31" t="s">
        <v>42</v>
      </c>
      <c r="C86" s="32" t="str">
        <f>VLOOKUP($C$2,Form_PrimeiraFase!$C$2:$FB$69,80,FALSE)</f>
        <v>Empate</v>
      </c>
      <c r="D86" s="32" t="str">
        <f>VLOOKUP($D$2,Form_PrimeiraFase!$C$2:$FB$69,80,FALSE)</f>
        <v>Athletic Bilbao</v>
      </c>
      <c r="E86" s="32" t="str">
        <f>VLOOKUP($E$2,Form_PrimeiraFase!$C$2:$FB$69,80,FALSE)</f>
        <v>Athletic Bilbao</v>
      </c>
      <c r="F86" s="32" t="str">
        <f>VLOOKUP($F$2,Form_PrimeiraFase!$C$2:$FB$69,80,FALSE)</f>
        <v>Athletic Bilbao</v>
      </c>
      <c r="G86" s="32" t="str">
        <f>VLOOKUP($G$2,Form_PrimeiraFase!$C$2:$FB$69,80,FALSE)</f>
        <v>Athletic Bilbao</v>
      </c>
      <c r="H86" s="32" t="str">
        <f>VLOOKUP($H$2,Form_PrimeiraFase!$C$2:$FB$69,80,FALSE)</f>
        <v>Slavia Praga</v>
      </c>
      <c r="I86" s="32" t="str">
        <f>VLOOKUP($I$2,Form_PrimeiraFase!$C$2:$FB$69,80,FALSE)</f>
        <v>Athletic Bilbao</v>
      </c>
      <c r="J86" s="32" t="str">
        <f>VLOOKUP($J$2,Form_PrimeiraFase!$C$2:$FB$69,80,FALSE)</f>
        <v>Slavia Praga</v>
      </c>
      <c r="K86" s="32" t="str">
        <f>VLOOKUP($K$2,Form_PrimeiraFase!$C$2:$FB$69,80,FALSE)</f>
        <v>Athletic Bilbao</v>
      </c>
      <c r="L86" s="32" t="str">
        <f>VLOOKUP($L$2,Form_PrimeiraFase!$C$2:$FB$69,80,FALSE)</f>
        <v>Empate</v>
      </c>
      <c r="M86" s="32" t="str">
        <f>VLOOKUP($M$2,Form_PrimeiraFase!$C$2:$FB$69,80,FALSE)</f>
        <v>Empate</v>
      </c>
      <c r="N86" s="32" t="str">
        <f>VLOOKUP($N$2,Form_PrimeiraFase!$C$2:$FB$69,80,FALSE)</f>
        <v>Slavia Praga</v>
      </c>
      <c r="O86" s="32" t="str">
        <f>VLOOKUP($O$2,Form_PrimeiraFase!$C$2:$FB$69,80,FALSE)</f>
        <v>Athletic Bilbao</v>
      </c>
      <c r="P86" s="32" t="str">
        <f>VLOOKUP($P$2,Form_PrimeiraFase!$C$2:$FB$69,80,FALSE)</f>
        <v>Slavia Praga</v>
      </c>
      <c r="Q86" s="32" t="str">
        <f>VLOOKUP($Q$2,Form_PrimeiraFase!$C$2:$FB$69,80,FALSE)</f>
        <v>Athletic Bilbao</v>
      </c>
      <c r="R86" s="32" t="str">
        <f>VLOOKUP($R$2,Form_PrimeiraFase!$C$2:$FB$69,80,FALSE)</f>
        <v>Athletic Bilbao</v>
      </c>
      <c r="S86" s="32" t="str">
        <f>VLOOKUP($S$2,Form_PrimeiraFase!$C$2:$FB$69,80,FALSE)</f>
        <v>Athletic Bilbao</v>
      </c>
      <c r="T86" s="32" t="str">
        <f>VLOOKUP($T$2,Form_PrimeiraFase!$C$2:$FB$69,80,FALSE)</f>
        <v>Slavia Praga</v>
      </c>
      <c r="U86" s="32" t="str">
        <f>VLOOKUP($U$2,Form_PrimeiraFase!$C$2:$FB$69,80,FALSE)</f>
        <v>Athletic Bilbao</v>
      </c>
      <c r="V86" s="32" t="str">
        <f>VLOOKUP($V$2,Form_PrimeiraFase!$C$2:$FB$69,80,FALSE)</f>
        <v>Athletic Bilbao</v>
      </c>
      <c r="W86" s="32" t="str">
        <f>VLOOKUP($W$2,Form_PrimeiraFase!$C$2:$FB$69,80,FALSE)</f>
        <v>Athletic Bilbao</v>
      </c>
      <c r="X86" s="33">
        <f t="shared" ref="X86:Y86" si="261">COUNTIF($C86:$W86,J86)</f>
        <v>5</v>
      </c>
      <c r="Y86" s="33">
        <f t="shared" si="261"/>
        <v>13</v>
      </c>
      <c r="Z86" s="33">
        <f t="shared" si="9"/>
        <v>13</v>
      </c>
      <c r="AA86" s="33">
        <f t="shared" si="10"/>
        <v>13</v>
      </c>
      <c r="AB86" s="33">
        <f t="shared" ref="AB86:AC86" si="262">COUNTIF($C86:$W86,N86)</f>
        <v>5</v>
      </c>
      <c r="AC86" s="33">
        <f t="shared" si="262"/>
        <v>13</v>
      </c>
      <c r="AD86" s="33">
        <f t="shared" si="12"/>
        <v>13</v>
      </c>
      <c r="AE86" s="33">
        <f t="shared" si="13"/>
        <v>13</v>
      </c>
      <c r="AF86" s="33">
        <f t="shared" si="14"/>
        <v>13</v>
      </c>
      <c r="AG86" s="33">
        <f t="shared" si="15"/>
        <v>13</v>
      </c>
      <c r="AH86" s="33">
        <f t="shared" si="16"/>
        <v>3</v>
      </c>
      <c r="AI86" s="33">
        <f t="shared" si="17"/>
        <v>5</v>
      </c>
      <c r="AJ86" s="33">
        <f t="shared" si="18"/>
        <v>3</v>
      </c>
      <c r="AK86" s="33">
        <f t="shared" si="19"/>
        <v>13</v>
      </c>
      <c r="AL86" s="33">
        <f t="shared" si="20"/>
        <v>13</v>
      </c>
      <c r="AM86" s="33">
        <f t="shared" si="21"/>
        <v>3</v>
      </c>
      <c r="AN86" s="33">
        <f t="shared" si="22"/>
        <v>5</v>
      </c>
      <c r="AO86" s="33">
        <f t="shared" ref="AO86:AR86" si="263">COUNTIF($C86:$W86,T86)</f>
        <v>5</v>
      </c>
      <c r="AP86" s="33">
        <f t="shared" si="263"/>
        <v>13</v>
      </c>
      <c r="AQ86" s="33">
        <f t="shared" si="263"/>
        <v>13</v>
      </c>
      <c r="AR86" s="33">
        <f t="shared" si="263"/>
        <v>13</v>
      </c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ht="10.5" customHeight="1">
      <c r="A87" s="30" t="s">
        <v>69</v>
      </c>
      <c r="B87" s="31" t="s">
        <v>71</v>
      </c>
      <c r="C87" s="32" t="str">
        <f>VLOOKUP($C$2,Form_PrimeiraFase!$C$2:$FB$69,81,FALSE)</f>
        <v>Juventus</v>
      </c>
      <c r="D87" s="32" t="str">
        <f>VLOOKUP($D$2,Form_PrimeiraFase!$C$2:$FB$69,81,FALSE)</f>
        <v>Juventus</v>
      </c>
      <c r="E87" s="32" t="str">
        <f>VLOOKUP($E$2,Form_PrimeiraFase!$C$2:$FB$69,81,FALSE)</f>
        <v>Juventus</v>
      </c>
      <c r="F87" s="32" t="str">
        <f>VLOOKUP($F$2,Form_PrimeiraFase!$C$2:$FB$69,81,FALSE)</f>
        <v>Juventus</v>
      </c>
      <c r="G87" s="32" t="str">
        <f>VLOOKUP($G$2,Form_PrimeiraFase!$C$2:$FB$69,81,FALSE)</f>
        <v>Juventus</v>
      </c>
      <c r="H87" s="32" t="str">
        <f>VLOOKUP($H$2,Form_PrimeiraFase!$C$2:$FB$69,81,FALSE)</f>
        <v>Juventus</v>
      </c>
      <c r="I87" s="32" t="str">
        <f>VLOOKUP($I$2,Form_PrimeiraFase!$C$2:$FB$69,81,FALSE)</f>
        <v>Juventus</v>
      </c>
      <c r="J87" s="32" t="str">
        <f>VLOOKUP($J$2,Form_PrimeiraFase!$C$2:$FB$69,81,FALSE)</f>
        <v>Juventus</v>
      </c>
      <c r="K87" s="32" t="str">
        <f>VLOOKUP($K$2,Form_PrimeiraFase!$C$2:$FB$69,81,FALSE)</f>
        <v>Juventus</v>
      </c>
      <c r="L87" s="32" t="str">
        <f>VLOOKUP($L$2,Form_PrimeiraFase!$C$2:$FB$69,81,FALSE)</f>
        <v>Juventus</v>
      </c>
      <c r="M87" s="32" t="str">
        <f>VLOOKUP($M$2,Form_PrimeiraFase!$C$2:$FB$69,81,FALSE)</f>
        <v>Juventus</v>
      </c>
      <c r="N87" s="32" t="str">
        <f>VLOOKUP($N$2,Form_PrimeiraFase!$C$2:$FB$69,81,FALSE)</f>
        <v>Juventus</v>
      </c>
      <c r="O87" s="32" t="str">
        <f>VLOOKUP($O$2,Form_PrimeiraFase!$C$2:$FB$69,81,FALSE)</f>
        <v>Juventus</v>
      </c>
      <c r="P87" s="32" t="str">
        <f>VLOOKUP($P$2,Form_PrimeiraFase!$C$2:$FB$69,81,FALSE)</f>
        <v>Juventus</v>
      </c>
      <c r="Q87" s="32" t="str">
        <f>VLOOKUP($Q$2,Form_PrimeiraFase!$C$2:$FB$69,81,FALSE)</f>
        <v>Juventus</v>
      </c>
      <c r="R87" s="32" t="str">
        <f>VLOOKUP($R$2,Form_PrimeiraFase!$C$2:$FB$69,81,FALSE)</f>
        <v>Juventus</v>
      </c>
      <c r="S87" s="32" t="str">
        <f>VLOOKUP($S$2,Form_PrimeiraFase!$C$2:$FB$69,81,FALSE)</f>
        <v>Juventus</v>
      </c>
      <c r="T87" s="32" t="str">
        <f>VLOOKUP($T$2,Form_PrimeiraFase!$C$2:$FB$69,81,FALSE)</f>
        <v>Empate</v>
      </c>
      <c r="U87" s="32" t="str">
        <f>VLOOKUP($U$2,Form_PrimeiraFase!$C$2:$FB$69,81,FALSE)</f>
        <v>Juventus</v>
      </c>
      <c r="V87" s="32" t="str">
        <f>VLOOKUP($V$2,Form_PrimeiraFase!$C$2:$FB$69,81,FALSE)</f>
        <v>Juventus</v>
      </c>
      <c r="W87" s="32" t="str">
        <f>VLOOKUP($W$2,Form_PrimeiraFase!$C$2:$FB$69,81,FALSE)</f>
        <v>Juventus</v>
      </c>
      <c r="X87" s="33">
        <f t="shared" ref="X87:Y87" si="264">COUNTIF($C87:$W87,J87)</f>
        <v>20</v>
      </c>
      <c r="Y87" s="33">
        <f t="shared" si="264"/>
        <v>20</v>
      </c>
      <c r="Z87" s="33">
        <f t="shared" si="9"/>
        <v>20</v>
      </c>
      <c r="AA87" s="33">
        <f t="shared" si="10"/>
        <v>20</v>
      </c>
      <c r="AB87" s="33">
        <f t="shared" ref="AB87:AC87" si="265">COUNTIF($C87:$W87,N87)</f>
        <v>20</v>
      </c>
      <c r="AC87" s="33">
        <f t="shared" si="265"/>
        <v>20</v>
      </c>
      <c r="AD87" s="33">
        <f t="shared" si="12"/>
        <v>20</v>
      </c>
      <c r="AE87" s="33">
        <f t="shared" si="13"/>
        <v>20</v>
      </c>
      <c r="AF87" s="33">
        <f t="shared" si="14"/>
        <v>20</v>
      </c>
      <c r="AG87" s="33">
        <f t="shared" si="15"/>
        <v>20</v>
      </c>
      <c r="AH87" s="33">
        <f t="shared" si="16"/>
        <v>20</v>
      </c>
      <c r="AI87" s="33">
        <f t="shared" si="17"/>
        <v>20</v>
      </c>
      <c r="AJ87" s="33">
        <f t="shared" si="18"/>
        <v>20</v>
      </c>
      <c r="AK87" s="33">
        <f t="shared" si="19"/>
        <v>20</v>
      </c>
      <c r="AL87" s="33">
        <f t="shared" si="20"/>
        <v>20</v>
      </c>
      <c r="AM87" s="33">
        <f t="shared" si="21"/>
        <v>20</v>
      </c>
      <c r="AN87" s="33">
        <f t="shared" si="22"/>
        <v>20</v>
      </c>
      <c r="AO87" s="33">
        <f t="shared" ref="AO87:AR87" si="266">COUNTIF($C87:$W87,T87)</f>
        <v>1</v>
      </c>
      <c r="AP87" s="33">
        <f t="shared" si="266"/>
        <v>20</v>
      </c>
      <c r="AQ87" s="33">
        <f t="shared" si="266"/>
        <v>20</v>
      </c>
      <c r="AR87" s="33">
        <f t="shared" si="266"/>
        <v>20</v>
      </c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</row>
    <row r="88" ht="10.5" customHeight="1">
      <c r="A88" s="30" t="s">
        <v>69</v>
      </c>
      <c r="B88" s="31" t="s">
        <v>57</v>
      </c>
      <c r="C88" s="32" t="str">
        <f>VLOOKUP($C$2,Form_PrimeiraFase!$C$2:$FB$69,82,FALSE)</f>
        <v>Newcastle</v>
      </c>
      <c r="D88" s="32" t="str">
        <f>VLOOKUP($D$2,Form_PrimeiraFase!$C$2:$FB$69,82,FALSE)</f>
        <v>Olympique de Marselha</v>
      </c>
      <c r="E88" s="32" t="str">
        <f>VLOOKUP($E$2,Form_PrimeiraFase!$C$2:$FB$69,82,FALSE)</f>
        <v>Newcastle</v>
      </c>
      <c r="F88" s="32" t="str">
        <f>VLOOKUP($F$2,Form_PrimeiraFase!$C$2:$FB$69,82,FALSE)</f>
        <v>Olympique de Marselha</v>
      </c>
      <c r="G88" s="32" t="str">
        <f>VLOOKUP($G$2,Form_PrimeiraFase!$C$2:$FB$69,82,FALSE)</f>
        <v>Empate</v>
      </c>
      <c r="H88" s="32" t="str">
        <f>VLOOKUP($H$2,Form_PrimeiraFase!$C$2:$FB$69,82,FALSE)</f>
        <v>Newcastle</v>
      </c>
      <c r="I88" s="32" t="str">
        <f>VLOOKUP($I$2,Form_PrimeiraFase!$C$2:$FB$69,82,FALSE)</f>
        <v>Olympique de Marselha</v>
      </c>
      <c r="J88" s="32" t="str">
        <f>VLOOKUP($J$2,Form_PrimeiraFase!$C$2:$FB$69,82,FALSE)</f>
        <v>Empate</v>
      </c>
      <c r="K88" s="32" t="str">
        <f>VLOOKUP($K$2,Form_PrimeiraFase!$C$2:$FB$69,82,FALSE)</f>
        <v>Newcastle</v>
      </c>
      <c r="L88" s="32" t="str">
        <f>VLOOKUP($L$2,Form_PrimeiraFase!$C$2:$FB$69,82,FALSE)</f>
        <v>Empate</v>
      </c>
      <c r="M88" s="32" t="str">
        <f>VLOOKUP($M$2,Form_PrimeiraFase!$C$2:$FB$69,82,FALSE)</f>
        <v>Empate</v>
      </c>
      <c r="N88" s="32" t="str">
        <f>VLOOKUP($N$2,Form_PrimeiraFase!$C$2:$FB$69,82,FALSE)</f>
        <v>Olympique de Marselha</v>
      </c>
      <c r="O88" s="32" t="str">
        <f>VLOOKUP($O$2,Form_PrimeiraFase!$C$2:$FB$69,82,FALSE)</f>
        <v>Empate</v>
      </c>
      <c r="P88" s="32" t="str">
        <f>VLOOKUP($P$2,Form_PrimeiraFase!$C$2:$FB$69,82,FALSE)</f>
        <v>Empate</v>
      </c>
      <c r="Q88" s="32" t="str">
        <f>VLOOKUP($Q$2,Form_PrimeiraFase!$C$2:$FB$69,82,FALSE)</f>
        <v>Empate</v>
      </c>
      <c r="R88" s="32" t="str">
        <f>VLOOKUP($R$2,Form_PrimeiraFase!$C$2:$FB$69,82,FALSE)</f>
        <v>Olympique de Marselha</v>
      </c>
      <c r="S88" s="32" t="str">
        <f>VLOOKUP($S$2,Form_PrimeiraFase!$C$2:$FB$69,82,FALSE)</f>
        <v>Olympique de Marselha</v>
      </c>
      <c r="T88" s="32" t="str">
        <f>VLOOKUP($T$2,Form_PrimeiraFase!$C$2:$FB$69,82,FALSE)</f>
        <v>Olympique de Marselha</v>
      </c>
      <c r="U88" s="32" t="str">
        <f>VLOOKUP($U$2,Form_PrimeiraFase!$C$2:$FB$69,82,FALSE)</f>
        <v>Newcastle</v>
      </c>
      <c r="V88" s="32" t="str">
        <f>VLOOKUP($V$2,Form_PrimeiraFase!$C$2:$FB$69,82,FALSE)</f>
        <v>Olympique de Marselha</v>
      </c>
      <c r="W88" s="32" t="str">
        <f>VLOOKUP($W$2,Form_PrimeiraFase!$C$2:$FB$69,82,FALSE)</f>
        <v>Newcastle</v>
      </c>
      <c r="X88" s="33">
        <f t="shared" ref="X88:Y88" si="267">COUNTIF($C88:$W88,J88)</f>
        <v>7</v>
      </c>
      <c r="Y88" s="33">
        <f t="shared" si="267"/>
        <v>6</v>
      </c>
      <c r="Z88" s="33">
        <f t="shared" si="9"/>
        <v>8</v>
      </c>
      <c r="AA88" s="33">
        <f t="shared" si="10"/>
        <v>8</v>
      </c>
      <c r="AB88" s="33">
        <f t="shared" ref="AB88:AC88" si="268">COUNTIF($C88:$W88,N88)</f>
        <v>8</v>
      </c>
      <c r="AC88" s="33">
        <f t="shared" si="268"/>
        <v>7</v>
      </c>
      <c r="AD88" s="33">
        <f t="shared" si="12"/>
        <v>7</v>
      </c>
      <c r="AE88" s="33">
        <f t="shared" si="13"/>
        <v>8</v>
      </c>
      <c r="AF88" s="33">
        <f t="shared" si="14"/>
        <v>6</v>
      </c>
      <c r="AG88" s="33">
        <f t="shared" si="15"/>
        <v>8</v>
      </c>
      <c r="AH88" s="33">
        <f t="shared" si="16"/>
        <v>6</v>
      </c>
      <c r="AI88" s="33">
        <f t="shared" si="17"/>
        <v>7</v>
      </c>
      <c r="AJ88" s="33">
        <f t="shared" si="18"/>
        <v>7</v>
      </c>
      <c r="AK88" s="33">
        <f t="shared" si="19"/>
        <v>8</v>
      </c>
      <c r="AL88" s="33">
        <f t="shared" si="20"/>
        <v>7</v>
      </c>
      <c r="AM88" s="33">
        <f t="shared" si="21"/>
        <v>7</v>
      </c>
      <c r="AN88" s="33">
        <f t="shared" si="22"/>
        <v>6</v>
      </c>
      <c r="AO88" s="33">
        <f t="shared" ref="AO88:AR88" si="269">COUNTIF($C88:$W88,T88)</f>
        <v>8</v>
      </c>
      <c r="AP88" s="33">
        <f t="shared" si="269"/>
        <v>6</v>
      </c>
      <c r="AQ88" s="33">
        <f t="shared" si="269"/>
        <v>8</v>
      </c>
      <c r="AR88" s="33">
        <f t="shared" si="269"/>
        <v>6</v>
      </c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</row>
    <row r="89" ht="10.5" customHeight="1">
      <c r="A89" s="30" t="s">
        <v>69</v>
      </c>
      <c r="B89" s="31" t="s">
        <v>72</v>
      </c>
      <c r="C89" s="32" t="str">
        <f>VLOOKUP($C$2,Form_PrimeiraFase!$C$2:$FB$69,83,FALSE)</f>
        <v>Copenhagen</v>
      </c>
      <c r="D89" s="32" t="str">
        <f>VLOOKUP($D$2,Form_PrimeiraFase!$C$2:$FB$69,83,FALSE)</f>
        <v>Copenhagen</v>
      </c>
      <c r="E89" s="32" t="str">
        <f>VLOOKUP($E$2,Form_PrimeiraFase!$C$2:$FB$69,83,FALSE)</f>
        <v>Copenhagen</v>
      </c>
      <c r="F89" s="32" t="str">
        <f>VLOOKUP($F$2,Form_PrimeiraFase!$C$2:$FB$69,83,FALSE)</f>
        <v>Copenhagen</v>
      </c>
      <c r="G89" s="32" t="str">
        <f>VLOOKUP($G$2,Form_PrimeiraFase!$C$2:$FB$69,83,FALSE)</f>
        <v>Copenhagen</v>
      </c>
      <c r="H89" s="32" t="str">
        <f>VLOOKUP($H$2,Form_PrimeiraFase!$C$2:$FB$69,83,FALSE)</f>
        <v>Kairat</v>
      </c>
      <c r="I89" s="32" t="str">
        <f>VLOOKUP($I$2,Form_PrimeiraFase!$C$2:$FB$69,83,FALSE)</f>
        <v>Copenhagen</v>
      </c>
      <c r="J89" s="32" t="str">
        <f>VLOOKUP($J$2,Form_PrimeiraFase!$C$2:$FB$69,83,FALSE)</f>
        <v>Copenhagen</v>
      </c>
      <c r="K89" s="32" t="str">
        <f>VLOOKUP($K$2,Form_PrimeiraFase!$C$2:$FB$69,83,FALSE)</f>
        <v>Copenhagen</v>
      </c>
      <c r="L89" s="32" t="str">
        <f>VLOOKUP($L$2,Form_PrimeiraFase!$C$2:$FB$69,83,FALSE)</f>
        <v>Copenhagen</v>
      </c>
      <c r="M89" s="32" t="str">
        <f>VLOOKUP($M$2,Form_PrimeiraFase!$C$2:$FB$69,83,FALSE)</f>
        <v>Copenhagen</v>
      </c>
      <c r="N89" s="32" t="str">
        <f>VLOOKUP($N$2,Form_PrimeiraFase!$C$2:$FB$69,83,FALSE)</f>
        <v>Copenhagen</v>
      </c>
      <c r="O89" s="32" t="str">
        <f>VLOOKUP($O$2,Form_PrimeiraFase!$C$2:$FB$69,83,FALSE)</f>
        <v>Copenhagen</v>
      </c>
      <c r="P89" s="32" t="str">
        <f>VLOOKUP($P$2,Form_PrimeiraFase!$C$2:$FB$69,83,FALSE)</f>
        <v>Copenhagen</v>
      </c>
      <c r="Q89" s="32" t="str">
        <f>VLOOKUP($Q$2,Form_PrimeiraFase!$C$2:$FB$69,83,FALSE)</f>
        <v>Copenhagen</v>
      </c>
      <c r="R89" s="32" t="str">
        <f>VLOOKUP($R$2,Form_PrimeiraFase!$C$2:$FB$69,83,FALSE)</f>
        <v>Copenhagen</v>
      </c>
      <c r="S89" s="32" t="str">
        <f>VLOOKUP($S$2,Form_PrimeiraFase!$C$2:$FB$69,83,FALSE)</f>
        <v>Copenhagen</v>
      </c>
      <c r="T89" s="32" t="str">
        <f>VLOOKUP($T$2,Form_PrimeiraFase!$C$2:$FB$69,83,FALSE)</f>
        <v>Copenhagen</v>
      </c>
      <c r="U89" s="32" t="str">
        <f>VLOOKUP($U$2,Form_PrimeiraFase!$C$2:$FB$69,83,FALSE)</f>
        <v>Empate</v>
      </c>
      <c r="V89" s="32" t="str">
        <f>VLOOKUP($V$2,Form_PrimeiraFase!$C$2:$FB$69,83,FALSE)</f>
        <v>Copenhagen</v>
      </c>
      <c r="W89" s="32" t="str">
        <f>VLOOKUP($W$2,Form_PrimeiraFase!$C$2:$FB$69,83,FALSE)</f>
        <v>Copenhagen</v>
      </c>
      <c r="X89" s="33">
        <f t="shared" ref="X89:Y89" si="270">COUNTIF($C89:$W89,J89)</f>
        <v>19</v>
      </c>
      <c r="Y89" s="33">
        <f t="shared" si="270"/>
        <v>19</v>
      </c>
      <c r="Z89" s="33">
        <f t="shared" si="9"/>
        <v>19</v>
      </c>
      <c r="AA89" s="33">
        <f t="shared" si="10"/>
        <v>19</v>
      </c>
      <c r="AB89" s="33">
        <f t="shared" ref="AB89:AC89" si="271">COUNTIF($C89:$W89,N89)</f>
        <v>19</v>
      </c>
      <c r="AC89" s="33">
        <f t="shared" si="271"/>
        <v>19</v>
      </c>
      <c r="AD89" s="33">
        <f t="shared" si="12"/>
        <v>19</v>
      </c>
      <c r="AE89" s="33">
        <f t="shared" si="13"/>
        <v>19</v>
      </c>
      <c r="AF89" s="33">
        <f t="shared" si="14"/>
        <v>19</v>
      </c>
      <c r="AG89" s="33">
        <f t="shared" si="15"/>
        <v>19</v>
      </c>
      <c r="AH89" s="33">
        <f t="shared" si="16"/>
        <v>19</v>
      </c>
      <c r="AI89" s="33">
        <f t="shared" si="17"/>
        <v>19</v>
      </c>
      <c r="AJ89" s="33">
        <f t="shared" si="18"/>
        <v>19</v>
      </c>
      <c r="AK89" s="33">
        <f t="shared" si="19"/>
        <v>19</v>
      </c>
      <c r="AL89" s="33">
        <f t="shared" si="20"/>
        <v>19</v>
      </c>
      <c r="AM89" s="33">
        <f t="shared" si="21"/>
        <v>19</v>
      </c>
      <c r="AN89" s="33">
        <f t="shared" si="22"/>
        <v>1</v>
      </c>
      <c r="AO89" s="33">
        <f t="shared" ref="AO89:AR89" si="272">COUNTIF($C89:$W89,T89)</f>
        <v>19</v>
      </c>
      <c r="AP89" s="33">
        <f t="shared" si="272"/>
        <v>1</v>
      </c>
      <c r="AQ89" s="33">
        <f t="shared" si="272"/>
        <v>19</v>
      </c>
      <c r="AR89" s="33">
        <f t="shared" si="272"/>
        <v>19</v>
      </c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</row>
    <row r="90" ht="10.5" customHeight="1">
      <c r="A90" s="30" t="s">
        <v>69</v>
      </c>
      <c r="B90" s="31" t="s">
        <v>42</v>
      </c>
      <c r="C90" s="32" t="str">
        <f>VLOOKUP($C$2,Form_PrimeiraFase!$C$2:$FB$69,84,FALSE)</f>
        <v>Monaco</v>
      </c>
      <c r="D90" s="32" t="str">
        <f>VLOOKUP($D$2,Form_PrimeiraFase!$C$2:$FB$69,84,FALSE)</f>
        <v>Monaco</v>
      </c>
      <c r="E90" s="32" t="str">
        <f>VLOOKUP($E$2,Form_PrimeiraFase!$C$2:$FB$69,84,FALSE)</f>
        <v>Monaco</v>
      </c>
      <c r="F90" s="32" t="str">
        <f>VLOOKUP($F$2,Form_PrimeiraFase!$C$2:$FB$69,84,FALSE)</f>
        <v>Monaco</v>
      </c>
      <c r="G90" s="32" t="str">
        <f>VLOOKUP($G$2,Form_PrimeiraFase!$C$2:$FB$69,84,FALSE)</f>
        <v>Pafos</v>
      </c>
      <c r="H90" s="32" t="str">
        <f>VLOOKUP($H$2,Form_PrimeiraFase!$C$2:$FB$69,84,FALSE)</f>
        <v>Monaco</v>
      </c>
      <c r="I90" s="32" t="str">
        <f>VLOOKUP($I$2,Form_PrimeiraFase!$C$2:$FB$69,84,FALSE)</f>
        <v>Monaco</v>
      </c>
      <c r="J90" s="32" t="str">
        <f>VLOOKUP($J$2,Form_PrimeiraFase!$C$2:$FB$69,84,FALSE)</f>
        <v>Monaco</v>
      </c>
      <c r="K90" s="32" t="str">
        <f>VLOOKUP($K$2,Form_PrimeiraFase!$C$2:$FB$69,84,FALSE)</f>
        <v>Empate</v>
      </c>
      <c r="L90" s="32" t="str">
        <f>VLOOKUP($L$2,Form_PrimeiraFase!$C$2:$FB$69,84,FALSE)</f>
        <v>Monaco</v>
      </c>
      <c r="M90" s="32" t="str">
        <f>VLOOKUP($M$2,Form_PrimeiraFase!$C$2:$FB$69,84,FALSE)</f>
        <v>Monaco</v>
      </c>
      <c r="N90" s="32" t="str">
        <f>VLOOKUP($N$2,Form_PrimeiraFase!$C$2:$FB$69,84,FALSE)</f>
        <v>Monaco</v>
      </c>
      <c r="O90" s="32" t="str">
        <f>VLOOKUP($O$2,Form_PrimeiraFase!$C$2:$FB$69,84,FALSE)</f>
        <v>Pafos</v>
      </c>
      <c r="P90" s="32" t="str">
        <f>VLOOKUP($P$2,Form_PrimeiraFase!$C$2:$FB$69,84,FALSE)</f>
        <v>Monaco</v>
      </c>
      <c r="Q90" s="32" t="str">
        <f>VLOOKUP($Q$2,Form_PrimeiraFase!$C$2:$FB$69,84,FALSE)</f>
        <v>Monaco</v>
      </c>
      <c r="R90" s="32" t="str">
        <f>VLOOKUP($R$2,Form_PrimeiraFase!$C$2:$FB$69,84,FALSE)</f>
        <v>Monaco</v>
      </c>
      <c r="S90" s="32" t="str">
        <f>VLOOKUP($S$2,Form_PrimeiraFase!$C$2:$FB$69,84,FALSE)</f>
        <v>Monaco</v>
      </c>
      <c r="T90" s="32" t="str">
        <f>VLOOKUP($T$2,Form_PrimeiraFase!$C$2:$FB$69,84,FALSE)</f>
        <v>Monaco</v>
      </c>
      <c r="U90" s="32" t="str">
        <f>VLOOKUP($U$2,Form_PrimeiraFase!$C$2:$FB$69,84,FALSE)</f>
        <v>Monaco</v>
      </c>
      <c r="V90" s="32" t="str">
        <f>VLOOKUP($V$2,Form_PrimeiraFase!$C$2:$FB$69,84,FALSE)</f>
        <v>Monaco</v>
      </c>
      <c r="W90" s="32" t="str">
        <f>VLOOKUP($W$2,Form_PrimeiraFase!$C$2:$FB$69,84,FALSE)</f>
        <v>Monaco</v>
      </c>
      <c r="X90" s="33">
        <f t="shared" ref="X90:Y90" si="273">COUNTIF($C90:$W90,J90)</f>
        <v>18</v>
      </c>
      <c r="Y90" s="33">
        <f t="shared" si="273"/>
        <v>1</v>
      </c>
      <c r="Z90" s="33">
        <f t="shared" si="9"/>
        <v>18</v>
      </c>
      <c r="AA90" s="33">
        <f t="shared" si="10"/>
        <v>18</v>
      </c>
      <c r="AB90" s="33">
        <f t="shared" ref="AB90:AC90" si="274">COUNTIF($C90:$W90,N90)</f>
        <v>18</v>
      </c>
      <c r="AC90" s="33">
        <f t="shared" si="274"/>
        <v>2</v>
      </c>
      <c r="AD90" s="33">
        <f t="shared" si="12"/>
        <v>2</v>
      </c>
      <c r="AE90" s="33">
        <f t="shared" si="13"/>
        <v>18</v>
      </c>
      <c r="AF90" s="33">
        <f t="shared" si="14"/>
        <v>18</v>
      </c>
      <c r="AG90" s="33">
        <f t="shared" si="15"/>
        <v>18</v>
      </c>
      <c r="AH90" s="33">
        <f t="shared" si="16"/>
        <v>18</v>
      </c>
      <c r="AI90" s="33">
        <f t="shared" si="17"/>
        <v>18</v>
      </c>
      <c r="AJ90" s="33">
        <f t="shared" si="18"/>
        <v>18</v>
      </c>
      <c r="AK90" s="33">
        <f t="shared" si="19"/>
        <v>18</v>
      </c>
      <c r="AL90" s="33">
        <f t="shared" si="20"/>
        <v>18</v>
      </c>
      <c r="AM90" s="33">
        <f t="shared" si="21"/>
        <v>18</v>
      </c>
      <c r="AN90" s="33">
        <f t="shared" si="22"/>
        <v>18</v>
      </c>
      <c r="AO90" s="33">
        <f t="shared" ref="AO90:AR90" si="275">COUNTIF($C90:$W90,T90)</f>
        <v>18</v>
      </c>
      <c r="AP90" s="33">
        <f t="shared" si="275"/>
        <v>18</v>
      </c>
      <c r="AQ90" s="33">
        <f t="shared" si="275"/>
        <v>18</v>
      </c>
      <c r="AR90" s="33">
        <f t="shared" si="275"/>
        <v>18</v>
      </c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</row>
    <row r="91" ht="10.5" customHeight="1">
      <c r="A91" s="30" t="s">
        <v>69</v>
      </c>
      <c r="B91" s="31" t="s">
        <v>44</v>
      </c>
      <c r="C91" s="32" t="str">
        <f>VLOOKUP($C$2,Form_PrimeiraFase!$C$2:$FB$69,85,FALSE)</f>
        <v>Paris Saint-Germain</v>
      </c>
      <c r="D91" s="32" t="str">
        <f>VLOOKUP($D$2,Form_PrimeiraFase!$C$2:$FB$69,85,FALSE)</f>
        <v>Paris Saint-Germain</v>
      </c>
      <c r="E91" s="32" t="str">
        <f>VLOOKUP($E$2,Form_PrimeiraFase!$C$2:$FB$69,85,FALSE)</f>
        <v>Paris Saint-Germain</v>
      </c>
      <c r="F91" s="32" t="str">
        <f>VLOOKUP($F$2,Form_PrimeiraFase!$C$2:$FB$69,85,FALSE)</f>
        <v>Empate</v>
      </c>
      <c r="G91" s="32" t="str">
        <f>VLOOKUP($G$2,Form_PrimeiraFase!$C$2:$FB$69,85,FALSE)</f>
        <v>Paris Saint-Germain</v>
      </c>
      <c r="H91" s="32" t="str">
        <f>VLOOKUP($H$2,Form_PrimeiraFase!$C$2:$FB$69,85,FALSE)</f>
        <v>Paris Saint-Germain</v>
      </c>
      <c r="I91" s="32" t="str">
        <f>VLOOKUP($I$2,Form_PrimeiraFase!$C$2:$FB$69,85,FALSE)</f>
        <v>Paris Saint-Germain</v>
      </c>
      <c r="J91" s="32" t="str">
        <f>VLOOKUP($J$2,Form_PrimeiraFase!$C$2:$FB$69,85,FALSE)</f>
        <v>Paris Saint-Germain</v>
      </c>
      <c r="K91" s="32" t="str">
        <f>VLOOKUP($K$2,Form_PrimeiraFase!$C$2:$FB$69,85,FALSE)</f>
        <v>Paris Saint-Germain</v>
      </c>
      <c r="L91" s="32" t="str">
        <f>VLOOKUP($L$2,Form_PrimeiraFase!$C$2:$FB$69,85,FALSE)</f>
        <v>Paris Saint-Germain</v>
      </c>
      <c r="M91" s="32" t="str">
        <f>VLOOKUP($M$2,Form_PrimeiraFase!$C$2:$FB$69,85,FALSE)</f>
        <v>Paris Saint-Germain</v>
      </c>
      <c r="N91" s="32" t="str">
        <f>VLOOKUP($N$2,Form_PrimeiraFase!$C$2:$FB$69,85,FALSE)</f>
        <v>Paris Saint-Germain</v>
      </c>
      <c r="O91" s="32" t="str">
        <f>VLOOKUP($O$2,Form_PrimeiraFase!$C$2:$FB$69,85,FALSE)</f>
        <v>Paris Saint-Germain</v>
      </c>
      <c r="P91" s="32" t="str">
        <f>VLOOKUP($P$2,Form_PrimeiraFase!$C$2:$FB$69,85,FALSE)</f>
        <v>Paris Saint-Germain</v>
      </c>
      <c r="Q91" s="32" t="str">
        <f>VLOOKUP($Q$2,Form_PrimeiraFase!$C$2:$FB$69,85,FALSE)</f>
        <v>Paris Saint-Germain</v>
      </c>
      <c r="R91" s="32" t="str">
        <f>VLOOKUP($R$2,Form_PrimeiraFase!$C$2:$FB$69,85,FALSE)</f>
        <v>Paris Saint-Germain</v>
      </c>
      <c r="S91" s="32" t="str">
        <f>VLOOKUP($S$2,Form_PrimeiraFase!$C$2:$FB$69,85,FALSE)</f>
        <v>Paris Saint-Germain</v>
      </c>
      <c r="T91" s="32" t="str">
        <f>VLOOKUP($T$2,Form_PrimeiraFase!$C$2:$FB$69,85,FALSE)</f>
        <v>Paris Saint-Germain</v>
      </c>
      <c r="U91" s="32" t="str">
        <f>VLOOKUP($U$2,Form_PrimeiraFase!$C$2:$FB$69,85,FALSE)</f>
        <v>Paris Saint-Germain</v>
      </c>
      <c r="V91" s="32" t="str">
        <f>VLOOKUP($V$2,Form_PrimeiraFase!$C$2:$FB$69,85,FALSE)</f>
        <v>Paris Saint-Germain</v>
      </c>
      <c r="W91" s="32" t="str">
        <f>VLOOKUP($W$2,Form_PrimeiraFase!$C$2:$FB$69,85,FALSE)</f>
        <v>Paris Saint-Germain</v>
      </c>
      <c r="X91" s="33">
        <f t="shared" ref="X91:Y91" si="276">COUNTIF($C91:$W91,J91)</f>
        <v>20</v>
      </c>
      <c r="Y91" s="33">
        <f t="shared" si="276"/>
        <v>20</v>
      </c>
      <c r="Z91" s="33">
        <f t="shared" si="9"/>
        <v>20</v>
      </c>
      <c r="AA91" s="33">
        <f t="shared" si="10"/>
        <v>20</v>
      </c>
      <c r="AB91" s="33">
        <f t="shared" ref="AB91:AC91" si="277">COUNTIF($C91:$W91,N91)</f>
        <v>20</v>
      </c>
      <c r="AC91" s="33">
        <f t="shared" si="277"/>
        <v>20</v>
      </c>
      <c r="AD91" s="33">
        <f t="shared" si="12"/>
        <v>20</v>
      </c>
      <c r="AE91" s="33">
        <f t="shared" si="13"/>
        <v>1</v>
      </c>
      <c r="AF91" s="33">
        <f t="shared" si="14"/>
        <v>20</v>
      </c>
      <c r="AG91" s="33">
        <f t="shared" si="15"/>
        <v>20</v>
      </c>
      <c r="AH91" s="33">
        <f t="shared" si="16"/>
        <v>20</v>
      </c>
      <c r="AI91" s="33">
        <f t="shared" si="17"/>
        <v>20</v>
      </c>
      <c r="AJ91" s="33">
        <f t="shared" si="18"/>
        <v>20</v>
      </c>
      <c r="AK91" s="33">
        <f t="shared" si="19"/>
        <v>20</v>
      </c>
      <c r="AL91" s="33">
        <f t="shared" si="20"/>
        <v>20</v>
      </c>
      <c r="AM91" s="33">
        <f t="shared" si="21"/>
        <v>20</v>
      </c>
      <c r="AN91" s="33">
        <f t="shared" si="22"/>
        <v>20</v>
      </c>
      <c r="AO91" s="33">
        <f t="shared" ref="AO91:AR91" si="278">COUNTIF($C91:$W91,T91)</f>
        <v>20</v>
      </c>
      <c r="AP91" s="33">
        <f t="shared" si="278"/>
        <v>20</v>
      </c>
      <c r="AQ91" s="33">
        <f t="shared" si="278"/>
        <v>20</v>
      </c>
      <c r="AR91" s="33">
        <f t="shared" si="278"/>
        <v>20</v>
      </c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</row>
    <row r="92" ht="10.5" customHeight="1">
      <c r="A92" s="30" t="s">
        <v>69</v>
      </c>
      <c r="B92" s="31" t="s">
        <v>63</v>
      </c>
      <c r="C92" s="32" t="str">
        <f>VLOOKUP($C$2,Form_PrimeiraFase!$C$2:$FB$69,86,FALSE)</f>
        <v>Liverpool</v>
      </c>
      <c r="D92" s="32" t="str">
        <f>VLOOKUP($D$2,Form_PrimeiraFase!$C$2:$FB$69,86,FALSE)</f>
        <v>Liverpool</v>
      </c>
      <c r="E92" s="32" t="str">
        <f>VLOOKUP($E$2,Form_PrimeiraFase!$C$2:$FB$69,86,FALSE)</f>
        <v>Liverpool</v>
      </c>
      <c r="F92" s="32" t="str">
        <f>VLOOKUP($F$2,Form_PrimeiraFase!$C$2:$FB$69,86,FALSE)</f>
        <v>Liverpool</v>
      </c>
      <c r="G92" s="32" t="str">
        <f>VLOOKUP($G$2,Form_PrimeiraFase!$C$2:$FB$69,86,FALSE)</f>
        <v>Liverpool</v>
      </c>
      <c r="H92" s="32" t="str">
        <f>VLOOKUP($H$2,Form_PrimeiraFase!$C$2:$FB$69,86,FALSE)</f>
        <v>Liverpool</v>
      </c>
      <c r="I92" s="32" t="str">
        <f>VLOOKUP($I$2,Form_PrimeiraFase!$C$2:$FB$69,86,FALSE)</f>
        <v>Liverpool</v>
      </c>
      <c r="J92" s="32" t="str">
        <f>VLOOKUP($J$2,Form_PrimeiraFase!$C$2:$FB$69,86,FALSE)</f>
        <v>Liverpool</v>
      </c>
      <c r="K92" s="32" t="str">
        <f>VLOOKUP($K$2,Form_PrimeiraFase!$C$2:$FB$69,86,FALSE)</f>
        <v>Liverpool</v>
      </c>
      <c r="L92" s="32" t="str">
        <f>VLOOKUP($L$2,Form_PrimeiraFase!$C$2:$FB$69,86,FALSE)</f>
        <v>Liverpool</v>
      </c>
      <c r="M92" s="32" t="str">
        <f>VLOOKUP($M$2,Form_PrimeiraFase!$C$2:$FB$69,86,FALSE)</f>
        <v>Liverpool</v>
      </c>
      <c r="N92" s="32" t="str">
        <f>VLOOKUP($N$2,Form_PrimeiraFase!$C$2:$FB$69,86,FALSE)</f>
        <v>Liverpool</v>
      </c>
      <c r="O92" s="32" t="str">
        <f>VLOOKUP($O$2,Form_PrimeiraFase!$C$2:$FB$69,86,FALSE)</f>
        <v>Liverpool</v>
      </c>
      <c r="P92" s="32" t="str">
        <f>VLOOKUP($P$2,Form_PrimeiraFase!$C$2:$FB$69,86,FALSE)</f>
        <v>Liverpool</v>
      </c>
      <c r="Q92" s="32" t="str">
        <f>VLOOKUP($Q$2,Form_PrimeiraFase!$C$2:$FB$69,86,FALSE)</f>
        <v>Liverpool</v>
      </c>
      <c r="R92" s="32" t="str">
        <f>VLOOKUP($R$2,Form_PrimeiraFase!$C$2:$FB$69,86,FALSE)</f>
        <v>Liverpool</v>
      </c>
      <c r="S92" s="32" t="str">
        <f>VLOOKUP($S$2,Form_PrimeiraFase!$C$2:$FB$69,86,FALSE)</f>
        <v>Liverpool</v>
      </c>
      <c r="T92" s="32" t="str">
        <f>VLOOKUP($T$2,Form_PrimeiraFase!$C$2:$FB$69,86,FALSE)</f>
        <v>Liverpool</v>
      </c>
      <c r="U92" s="32" t="str">
        <f>VLOOKUP($U$2,Form_PrimeiraFase!$C$2:$FB$69,86,FALSE)</f>
        <v>Liverpool</v>
      </c>
      <c r="V92" s="32" t="str">
        <f>VLOOKUP($V$2,Form_PrimeiraFase!$C$2:$FB$69,86,FALSE)</f>
        <v>Liverpool</v>
      </c>
      <c r="W92" s="32" t="str">
        <f>VLOOKUP($W$2,Form_PrimeiraFase!$C$2:$FB$69,86,FALSE)</f>
        <v>Liverpool</v>
      </c>
      <c r="X92" s="33">
        <f t="shared" ref="X92:Y92" si="279">COUNTIF($C92:$W92,J92)</f>
        <v>21</v>
      </c>
      <c r="Y92" s="33">
        <f t="shared" si="279"/>
        <v>21</v>
      </c>
      <c r="Z92" s="33">
        <f t="shared" si="9"/>
        <v>21</v>
      </c>
      <c r="AA92" s="33">
        <f t="shared" si="10"/>
        <v>21</v>
      </c>
      <c r="AB92" s="33">
        <f t="shared" ref="AB92:AC92" si="280">COUNTIF($C92:$W92,N92)</f>
        <v>21</v>
      </c>
      <c r="AC92" s="33">
        <f t="shared" si="280"/>
        <v>21</v>
      </c>
      <c r="AD92" s="33">
        <f t="shared" si="12"/>
        <v>21</v>
      </c>
      <c r="AE92" s="33">
        <f t="shared" si="13"/>
        <v>21</v>
      </c>
      <c r="AF92" s="33">
        <f t="shared" si="14"/>
        <v>21</v>
      </c>
      <c r="AG92" s="33">
        <f t="shared" si="15"/>
        <v>21</v>
      </c>
      <c r="AH92" s="33">
        <f t="shared" si="16"/>
        <v>21</v>
      </c>
      <c r="AI92" s="33">
        <f t="shared" si="17"/>
        <v>21</v>
      </c>
      <c r="AJ92" s="33">
        <f t="shared" si="18"/>
        <v>21</v>
      </c>
      <c r="AK92" s="33">
        <f t="shared" si="19"/>
        <v>21</v>
      </c>
      <c r="AL92" s="33">
        <f t="shared" si="20"/>
        <v>21</v>
      </c>
      <c r="AM92" s="33">
        <f t="shared" si="21"/>
        <v>21</v>
      </c>
      <c r="AN92" s="33">
        <f t="shared" si="22"/>
        <v>21</v>
      </c>
      <c r="AO92" s="33">
        <f t="shared" ref="AO92:AR92" si="281">COUNTIF($C92:$W92,T92)</f>
        <v>21</v>
      </c>
      <c r="AP92" s="33">
        <f t="shared" si="281"/>
        <v>21</v>
      </c>
      <c r="AQ92" s="33">
        <f t="shared" si="281"/>
        <v>21</v>
      </c>
      <c r="AR92" s="33">
        <f t="shared" si="281"/>
        <v>21</v>
      </c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</row>
    <row r="93" ht="10.5" customHeight="1">
      <c r="A93" s="30" t="s">
        <v>69</v>
      </c>
      <c r="B93" s="31" t="s">
        <v>39</v>
      </c>
      <c r="C93" s="32" t="str">
        <f>VLOOKUP($C$2,Form_PrimeiraFase!$C$2:$FB$69,87,FALSE)</f>
        <v>Arsenal</v>
      </c>
      <c r="D93" s="32" t="str">
        <f>VLOOKUP($D$2,Form_PrimeiraFase!$C$2:$FB$69,87,FALSE)</f>
        <v>Arsenal</v>
      </c>
      <c r="E93" s="32" t="str">
        <f>VLOOKUP($E$2,Form_PrimeiraFase!$C$2:$FB$69,87,FALSE)</f>
        <v>Arsenal</v>
      </c>
      <c r="F93" s="32" t="str">
        <f>VLOOKUP($F$2,Form_PrimeiraFase!$C$2:$FB$69,87,FALSE)</f>
        <v>Bayern de Munique</v>
      </c>
      <c r="G93" s="32" t="str">
        <f>VLOOKUP($G$2,Form_PrimeiraFase!$C$2:$FB$69,87,FALSE)</f>
        <v>Arsenal</v>
      </c>
      <c r="H93" s="32" t="str">
        <f>VLOOKUP($H$2,Form_PrimeiraFase!$C$2:$FB$69,87,FALSE)</f>
        <v>Arsenal</v>
      </c>
      <c r="I93" s="32" t="str">
        <f>VLOOKUP($I$2,Form_PrimeiraFase!$C$2:$FB$69,87,FALSE)</f>
        <v>Bayern de Munique</v>
      </c>
      <c r="J93" s="32" t="str">
        <f>VLOOKUP($J$2,Form_PrimeiraFase!$C$2:$FB$69,87,FALSE)</f>
        <v>Empate</v>
      </c>
      <c r="K93" s="32" t="str">
        <f>VLOOKUP($K$2,Form_PrimeiraFase!$C$2:$FB$69,87,FALSE)</f>
        <v>Arsenal</v>
      </c>
      <c r="L93" s="32" t="str">
        <f>VLOOKUP($L$2,Form_PrimeiraFase!$C$2:$FB$69,87,FALSE)</f>
        <v>Arsenal</v>
      </c>
      <c r="M93" s="32" t="str">
        <f>VLOOKUP($M$2,Form_PrimeiraFase!$C$2:$FB$69,87,FALSE)</f>
        <v>Empate</v>
      </c>
      <c r="N93" s="32" t="str">
        <f>VLOOKUP($N$2,Form_PrimeiraFase!$C$2:$FB$69,87,FALSE)</f>
        <v>Empate</v>
      </c>
      <c r="O93" s="32" t="str">
        <f>VLOOKUP($O$2,Form_PrimeiraFase!$C$2:$FB$69,87,FALSE)</f>
        <v>Empate</v>
      </c>
      <c r="P93" s="32" t="str">
        <f>VLOOKUP($P$2,Form_PrimeiraFase!$C$2:$FB$69,87,FALSE)</f>
        <v>Empate</v>
      </c>
      <c r="Q93" s="32" t="str">
        <f>VLOOKUP($Q$2,Form_PrimeiraFase!$C$2:$FB$69,87,FALSE)</f>
        <v>Arsenal</v>
      </c>
      <c r="R93" s="32" t="str">
        <f>VLOOKUP($R$2,Form_PrimeiraFase!$C$2:$FB$69,87,FALSE)</f>
        <v>Arsenal</v>
      </c>
      <c r="S93" s="32" t="str">
        <f>VLOOKUP($S$2,Form_PrimeiraFase!$C$2:$FB$69,87,FALSE)</f>
        <v>Empate</v>
      </c>
      <c r="T93" s="32" t="str">
        <f>VLOOKUP($T$2,Form_PrimeiraFase!$C$2:$FB$69,87,FALSE)</f>
        <v>Empate</v>
      </c>
      <c r="U93" s="32" t="str">
        <f>VLOOKUP($U$2,Form_PrimeiraFase!$C$2:$FB$69,87,FALSE)</f>
        <v>Bayern de Munique</v>
      </c>
      <c r="V93" s="32" t="str">
        <f>VLOOKUP($V$2,Form_PrimeiraFase!$C$2:$FB$69,87,FALSE)</f>
        <v>Bayern de Munique</v>
      </c>
      <c r="W93" s="32" t="str">
        <f>VLOOKUP($W$2,Form_PrimeiraFase!$C$2:$FB$69,87,FALSE)</f>
        <v>Empate</v>
      </c>
      <c r="X93" s="33">
        <f t="shared" ref="X93:Y93" si="282">COUNTIF($C93:$W93,J93)</f>
        <v>8</v>
      </c>
      <c r="Y93" s="33">
        <f t="shared" si="282"/>
        <v>9</v>
      </c>
      <c r="Z93" s="33">
        <f t="shared" si="9"/>
        <v>9</v>
      </c>
      <c r="AA93" s="33">
        <f t="shared" si="10"/>
        <v>9</v>
      </c>
      <c r="AB93" s="33">
        <f t="shared" ref="AB93:AC93" si="283">COUNTIF($C93:$W93,N93)</f>
        <v>8</v>
      </c>
      <c r="AC93" s="33">
        <f t="shared" si="283"/>
        <v>8</v>
      </c>
      <c r="AD93" s="33">
        <f t="shared" si="12"/>
        <v>9</v>
      </c>
      <c r="AE93" s="33">
        <f t="shared" si="13"/>
        <v>4</v>
      </c>
      <c r="AF93" s="33">
        <f t="shared" si="14"/>
        <v>9</v>
      </c>
      <c r="AG93" s="33">
        <f t="shared" si="15"/>
        <v>8</v>
      </c>
      <c r="AH93" s="33">
        <f t="shared" si="16"/>
        <v>9</v>
      </c>
      <c r="AI93" s="33">
        <f t="shared" si="17"/>
        <v>8</v>
      </c>
      <c r="AJ93" s="33">
        <f t="shared" si="18"/>
        <v>8</v>
      </c>
      <c r="AK93" s="33">
        <f t="shared" si="19"/>
        <v>4</v>
      </c>
      <c r="AL93" s="33">
        <f t="shared" si="20"/>
        <v>9</v>
      </c>
      <c r="AM93" s="33">
        <f t="shared" si="21"/>
        <v>9</v>
      </c>
      <c r="AN93" s="33">
        <f t="shared" si="22"/>
        <v>9</v>
      </c>
      <c r="AO93" s="33">
        <f t="shared" ref="AO93:AR93" si="284">COUNTIF($C93:$W93,T93)</f>
        <v>8</v>
      </c>
      <c r="AP93" s="33">
        <f t="shared" si="284"/>
        <v>4</v>
      </c>
      <c r="AQ93" s="33">
        <f t="shared" si="284"/>
        <v>4</v>
      </c>
      <c r="AR93" s="33">
        <f t="shared" si="284"/>
        <v>8</v>
      </c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</row>
    <row r="94" ht="10.5" customHeight="1">
      <c r="A94" s="30" t="s">
        <v>69</v>
      </c>
      <c r="B94" s="31" t="s">
        <v>56</v>
      </c>
      <c r="C94" s="32" t="str">
        <f>VLOOKUP($C$2,Form_PrimeiraFase!$C$2:$FB$69,88,FALSE)</f>
        <v>Internazionale</v>
      </c>
      <c r="D94" s="32" t="str">
        <f>VLOOKUP($D$2,Form_PrimeiraFase!$C$2:$FB$69,88,FALSE)</f>
        <v>Atlético de Madrid</v>
      </c>
      <c r="E94" s="32" t="str">
        <f>VLOOKUP($E$2,Form_PrimeiraFase!$C$2:$FB$69,88,FALSE)</f>
        <v>Empate</v>
      </c>
      <c r="F94" s="32" t="str">
        <f>VLOOKUP($F$2,Form_PrimeiraFase!$C$2:$FB$69,88,FALSE)</f>
        <v>Atlético de Madrid</v>
      </c>
      <c r="G94" s="32" t="str">
        <f>VLOOKUP($G$2,Form_PrimeiraFase!$C$2:$FB$69,88,FALSE)</f>
        <v>Atlético de Madrid</v>
      </c>
      <c r="H94" s="32" t="str">
        <f>VLOOKUP($H$2,Form_PrimeiraFase!$C$2:$FB$69,88,FALSE)</f>
        <v>Atlético de Madrid</v>
      </c>
      <c r="I94" s="32" t="str">
        <f>VLOOKUP($I$2,Form_PrimeiraFase!$C$2:$FB$69,88,FALSE)</f>
        <v>Atlético de Madrid</v>
      </c>
      <c r="J94" s="32" t="str">
        <f>VLOOKUP($J$2,Form_PrimeiraFase!$C$2:$FB$69,88,FALSE)</f>
        <v>Empate</v>
      </c>
      <c r="K94" s="32" t="str">
        <f>VLOOKUP($K$2,Form_PrimeiraFase!$C$2:$FB$69,88,FALSE)</f>
        <v>Atlético de Madrid</v>
      </c>
      <c r="L94" s="32" t="str">
        <f>VLOOKUP($L$2,Form_PrimeiraFase!$C$2:$FB$69,88,FALSE)</f>
        <v>Atlético de Madrid</v>
      </c>
      <c r="M94" s="32" t="str">
        <f>VLOOKUP($M$2,Form_PrimeiraFase!$C$2:$FB$69,88,FALSE)</f>
        <v>Empate</v>
      </c>
      <c r="N94" s="32" t="str">
        <f>VLOOKUP($N$2,Form_PrimeiraFase!$C$2:$FB$69,88,FALSE)</f>
        <v>Empate</v>
      </c>
      <c r="O94" s="32" t="str">
        <f>VLOOKUP($O$2,Form_PrimeiraFase!$C$2:$FB$69,88,FALSE)</f>
        <v>Internazionale</v>
      </c>
      <c r="P94" s="32" t="str">
        <f>VLOOKUP($P$2,Form_PrimeiraFase!$C$2:$FB$69,88,FALSE)</f>
        <v>Empate</v>
      </c>
      <c r="Q94" s="32" t="str">
        <f>VLOOKUP($Q$2,Form_PrimeiraFase!$C$2:$FB$69,88,FALSE)</f>
        <v>Empate</v>
      </c>
      <c r="R94" s="32" t="str">
        <f>VLOOKUP($R$2,Form_PrimeiraFase!$C$2:$FB$69,88,FALSE)</f>
        <v>Internazionale</v>
      </c>
      <c r="S94" s="32" t="str">
        <f>VLOOKUP($S$2,Form_PrimeiraFase!$C$2:$FB$69,88,FALSE)</f>
        <v>Atlético de Madrid</v>
      </c>
      <c r="T94" s="32" t="str">
        <f>VLOOKUP($T$2,Form_PrimeiraFase!$C$2:$FB$69,88,FALSE)</f>
        <v>Atlético de Madrid</v>
      </c>
      <c r="U94" s="32" t="str">
        <f>VLOOKUP($U$2,Form_PrimeiraFase!$C$2:$FB$69,88,FALSE)</f>
        <v>Empate</v>
      </c>
      <c r="V94" s="32" t="str">
        <f>VLOOKUP($V$2,Form_PrimeiraFase!$C$2:$FB$69,88,FALSE)</f>
        <v>Atlético de Madrid</v>
      </c>
      <c r="W94" s="32" t="str">
        <f>VLOOKUP($W$2,Form_PrimeiraFase!$C$2:$FB$69,88,FALSE)</f>
        <v>Empate</v>
      </c>
      <c r="X94" s="33">
        <f t="shared" ref="X94:Y94" si="285">COUNTIF($C94:$W94,J94)</f>
        <v>8</v>
      </c>
      <c r="Y94" s="33">
        <f t="shared" si="285"/>
        <v>10</v>
      </c>
      <c r="Z94" s="33">
        <f t="shared" si="9"/>
        <v>3</v>
      </c>
      <c r="AA94" s="33">
        <f t="shared" si="10"/>
        <v>10</v>
      </c>
      <c r="AB94" s="33">
        <f t="shared" ref="AB94:AC94" si="286">COUNTIF($C94:$W94,N94)</f>
        <v>8</v>
      </c>
      <c r="AC94" s="33">
        <f t="shared" si="286"/>
        <v>3</v>
      </c>
      <c r="AD94" s="33">
        <f t="shared" si="12"/>
        <v>10</v>
      </c>
      <c r="AE94" s="33">
        <f t="shared" si="13"/>
        <v>10</v>
      </c>
      <c r="AF94" s="33">
        <f t="shared" si="14"/>
        <v>8</v>
      </c>
      <c r="AG94" s="33">
        <f t="shared" si="15"/>
        <v>10</v>
      </c>
      <c r="AH94" s="33">
        <f t="shared" si="16"/>
        <v>3</v>
      </c>
      <c r="AI94" s="33">
        <f t="shared" si="17"/>
        <v>8</v>
      </c>
      <c r="AJ94" s="33">
        <f t="shared" si="18"/>
        <v>8</v>
      </c>
      <c r="AK94" s="33">
        <f t="shared" si="19"/>
        <v>10</v>
      </c>
      <c r="AL94" s="33">
        <f t="shared" si="20"/>
        <v>8</v>
      </c>
      <c r="AM94" s="33">
        <f t="shared" si="21"/>
        <v>10</v>
      </c>
      <c r="AN94" s="33">
        <f t="shared" si="22"/>
        <v>10</v>
      </c>
      <c r="AO94" s="33">
        <f t="shared" ref="AO94:AR94" si="287">COUNTIF($C94:$W94,T94)</f>
        <v>10</v>
      </c>
      <c r="AP94" s="33">
        <f t="shared" si="287"/>
        <v>8</v>
      </c>
      <c r="AQ94" s="33">
        <f t="shared" si="287"/>
        <v>10</v>
      </c>
      <c r="AR94" s="33">
        <f t="shared" si="287"/>
        <v>8</v>
      </c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ht="10.5" customHeight="1">
      <c r="A95" s="30" t="s">
        <v>69</v>
      </c>
      <c r="B95" s="31" t="s">
        <v>54</v>
      </c>
      <c r="C95" s="32" t="str">
        <f>VLOOKUP($C$2,Form_PrimeiraFase!$C$2:$FB$69,89,FALSE)</f>
        <v>Empate</v>
      </c>
      <c r="D95" s="32" t="str">
        <f>VLOOKUP($D$2,Form_PrimeiraFase!$C$2:$FB$69,89,FALSE)</f>
        <v>Empate</v>
      </c>
      <c r="E95" s="32" t="str">
        <f>VLOOKUP($E$2,Form_PrimeiraFase!$C$2:$FB$69,89,FALSE)</f>
        <v>Eintracht Frankfurt</v>
      </c>
      <c r="F95" s="32" t="str">
        <f>VLOOKUP($F$2,Form_PrimeiraFase!$C$2:$FB$69,89,FALSE)</f>
        <v>Atalanta</v>
      </c>
      <c r="G95" s="32" t="str">
        <f>VLOOKUP($G$2,Form_PrimeiraFase!$C$2:$FB$69,89,FALSE)</f>
        <v>Atalanta</v>
      </c>
      <c r="H95" s="32" t="str">
        <f>VLOOKUP($H$2,Form_PrimeiraFase!$C$2:$FB$69,89,FALSE)</f>
        <v>Eintracht Frankfurt</v>
      </c>
      <c r="I95" s="32" t="str">
        <f>VLOOKUP($I$2,Form_PrimeiraFase!$C$2:$FB$69,89,FALSE)</f>
        <v>Atalanta</v>
      </c>
      <c r="J95" s="32" t="str">
        <f>VLOOKUP($J$2,Form_PrimeiraFase!$C$2:$FB$69,89,FALSE)</f>
        <v>Eintracht Frankfurt</v>
      </c>
      <c r="K95" s="32" t="str">
        <f>VLOOKUP($K$2,Form_PrimeiraFase!$C$2:$FB$69,89,FALSE)</f>
        <v>Atalanta</v>
      </c>
      <c r="L95" s="32" t="str">
        <f>VLOOKUP($L$2,Form_PrimeiraFase!$C$2:$FB$69,89,FALSE)</f>
        <v>Eintracht Frankfurt</v>
      </c>
      <c r="M95" s="32" t="str">
        <f>VLOOKUP($M$2,Form_PrimeiraFase!$C$2:$FB$69,89,FALSE)</f>
        <v>Empate</v>
      </c>
      <c r="N95" s="32" t="str">
        <f>VLOOKUP($N$2,Form_PrimeiraFase!$C$2:$FB$69,89,FALSE)</f>
        <v>Eintracht Frankfurt</v>
      </c>
      <c r="O95" s="32" t="str">
        <f>VLOOKUP($O$2,Form_PrimeiraFase!$C$2:$FB$69,89,FALSE)</f>
        <v>Atalanta</v>
      </c>
      <c r="P95" s="32" t="str">
        <f>VLOOKUP($P$2,Form_PrimeiraFase!$C$2:$FB$69,89,FALSE)</f>
        <v>Empate</v>
      </c>
      <c r="Q95" s="32" t="str">
        <f>VLOOKUP($Q$2,Form_PrimeiraFase!$C$2:$FB$69,89,FALSE)</f>
        <v>Eintracht Frankfurt</v>
      </c>
      <c r="R95" s="32" t="str">
        <f>VLOOKUP($R$2,Form_PrimeiraFase!$C$2:$FB$69,89,FALSE)</f>
        <v>Atalanta</v>
      </c>
      <c r="S95" s="32" t="str">
        <f>VLOOKUP($S$2,Form_PrimeiraFase!$C$2:$FB$69,89,FALSE)</f>
        <v>Atalanta</v>
      </c>
      <c r="T95" s="32" t="str">
        <f>VLOOKUP($T$2,Form_PrimeiraFase!$C$2:$FB$69,89,FALSE)</f>
        <v>Eintracht Frankfurt</v>
      </c>
      <c r="U95" s="32" t="str">
        <f>VLOOKUP($U$2,Form_PrimeiraFase!$C$2:$FB$69,89,FALSE)</f>
        <v>Atalanta</v>
      </c>
      <c r="V95" s="32" t="str">
        <f>VLOOKUP($V$2,Form_PrimeiraFase!$C$2:$FB$69,89,FALSE)</f>
        <v>Atalanta</v>
      </c>
      <c r="W95" s="32" t="str">
        <f>VLOOKUP($W$2,Form_PrimeiraFase!$C$2:$FB$69,89,FALSE)</f>
        <v>Eintracht Frankfurt</v>
      </c>
      <c r="X95" s="33">
        <f t="shared" ref="X95:Y95" si="288">COUNTIF($C95:$W95,J95)</f>
        <v>8</v>
      </c>
      <c r="Y95" s="33">
        <f t="shared" si="288"/>
        <v>9</v>
      </c>
      <c r="Z95" s="33">
        <f t="shared" si="9"/>
        <v>9</v>
      </c>
      <c r="AA95" s="33">
        <f t="shared" si="10"/>
        <v>4</v>
      </c>
      <c r="AB95" s="33">
        <f t="shared" ref="AB95:AC95" si="289">COUNTIF($C95:$W95,N95)</f>
        <v>8</v>
      </c>
      <c r="AC95" s="33">
        <f t="shared" si="289"/>
        <v>9</v>
      </c>
      <c r="AD95" s="33">
        <f t="shared" si="12"/>
        <v>9</v>
      </c>
      <c r="AE95" s="33">
        <f t="shared" si="13"/>
        <v>9</v>
      </c>
      <c r="AF95" s="33">
        <f t="shared" si="14"/>
        <v>8</v>
      </c>
      <c r="AG95" s="33">
        <f t="shared" si="15"/>
        <v>9</v>
      </c>
      <c r="AH95" s="33">
        <f t="shared" si="16"/>
        <v>4</v>
      </c>
      <c r="AI95" s="33">
        <f t="shared" si="17"/>
        <v>4</v>
      </c>
      <c r="AJ95" s="33">
        <f t="shared" si="18"/>
        <v>4</v>
      </c>
      <c r="AK95" s="33">
        <f t="shared" si="19"/>
        <v>9</v>
      </c>
      <c r="AL95" s="33">
        <f t="shared" si="20"/>
        <v>8</v>
      </c>
      <c r="AM95" s="33">
        <f t="shared" si="21"/>
        <v>8</v>
      </c>
      <c r="AN95" s="33">
        <f t="shared" si="22"/>
        <v>8</v>
      </c>
      <c r="AO95" s="33">
        <f t="shared" ref="AO95:AR95" si="290">COUNTIF($C95:$W95,T95)</f>
        <v>8</v>
      </c>
      <c r="AP95" s="33">
        <f t="shared" si="290"/>
        <v>9</v>
      </c>
      <c r="AQ95" s="33">
        <f t="shared" si="290"/>
        <v>9</v>
      </c>
      <c r="AR95" s="33">
        <f t="shared" si="290"/>
        <v>8</v>
      </c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</row>
    <row r="96" ht="10.5" customHeight="1">
      <c r="A96" s="30" t="s">
        <v>69</v>
      </c>
      <c r="B96" s="31" t="s">
        <v>51</v>
      </c>
      <c r="C96" s="32" t="str">
        <f>VLOOKUP($C$2,Form_PrimeiraFase!$C$2:$FB$69,90,FALSE)</f>
        <v>Sporting</v>
      </c>
      <c r="D96" s="32" t="str">
        <f>VLOOKUP($D$2,Form_PrimeiraFase!$C$2:$FB$69,90,FALSE)</f>
        <v>Sporting</v>
      </c>
      <c r="E96" s="32" t="str">
        <f>VLOOKUP($E$2,Form_PrimeiraFase!$C$2:$FB$69,90,FALSE)</f>
        <v>Sporting</v>
      </c>
      <c r="F96" s="32" t="str">
        <f>VLOOKUP($F$2,Form_PrimeiraFase!$C$2:$FB$69,90,FALSE)</f>
        <v>Sporting</v>
      </c>
      <c r="G96" s="32" t="str">
        <f>VLOOKUP($G$2,Form_PrimeiraFase!$C$2:$FB$69,90,FALSE)</f>
        <v>Sporting</v>
      </c>
      <c r="H96" s="32" t="str">
        <f>VLOOKUP($H$2,Form_PrimeiraFase!$C$2:$FB$69,90,FALSE)</f>
        <v>Sporting</v>
      </c>
      <c r="I96" s="32" t="str">
        <f>VLOOKUP($I$2,Form_PrimeiraFase!$C$2:$FB$69,90,FALSE)</f>
        <v>Sporting</v>
      </c>
      <c r="J96" s="32" t="str">
        <f>VLOOKUP($J$2,Form_PrimeiraFase!$C$2:$FB$69,90,FALSE)</f>
        <v>Sporting</v>
      </c>
      <c r="K96" s="32" t="str">
        <f>VLOOKUP($K$2,Form_PrimeiraFase!$C$2:$FB$69,90,FALSE)</f>
        <v>Sporting</v>
      </c>
      <c r="L96" s="32" t="str">
        <f>VLOOKUP($L$2,Form_PrimeiraFase!$C$2:$FB$69,90,FALSE)</f>
        <v>Sporting</v>
      </c>
      <c r="M96" s="32" t="str">
        <f>VLOOKUP($M$2,Form_PrimeiraFase!$C$2:$FB$69,90,FALSE)</f>
        <v>Sporting</v>
      </c>
      <c r="N96" s="32" t="str">
        <f>VLOOKUP($N$2,Form_PrimeiraFase!$C$2:$FB$69,90,FALSE)</f>
        <v>Sporting</v>
      </c>
      <c r="O96" s="32" t="str">
        <f>VLOOKUP($O$2,Form_PrimeiraFase!$C$2:$FB$69,90,FALSE)</f>
        <v>Empate</v>
      </c>
      <c r="P96" s="32" t="str">
        <f>VLOOKUP($P$2,Form_PrimeiraFase!$C$2:$FB$69,90,FALSE)</f>
        <v>Sporting</v>
      </c>
      <c r="Q96" s="32" t="str">
        <f>VLOOKUP($Q$2,Form_PrimeiraFase!$C$2:$FB$69,90,FALSE)</f>
        <v>Club Brugge</v>
      </c>
      <c r="R96" s="32" t="str">
        <f>VLOOKUP($R$2,Form_PrimeiraFase!$C$2:$FB$69,90,FALSE)</f>
        <v>Sporting</v>
      </c>
      <c r="S96" s="32" t="str">
        <f>VLOOKUP($S$2,Form_PrimeiraFase!$C$2:$FB$69,90,FALSE)</f>
        <v>Sporting</v>
      </c>
      <c r="T96" s="32" t="str">
        <f>VLOOKUP($T$2,Form_PrimeiraFase!$C$2:$FB$69,90,FALSE)</f>
        <v>Sporting</v>
      </c>
      <c r="U96" s="32" t="str">
        <f>VLOOKUP($U$2,Form_PrimeiraFase!$C$2:$FB$69,90,FALSE)</f>
        <v>Sporting</v>
      </c>
      <c r="V96" s="32" t="str">
        <f>VLOOKUP($V$2,Form_PrimeiraFase!$C$2:$FB$69,90,FALSE)</f>
        <v>Sporting</v>
      </c>
      <c r="W96" s="32" t="str">
        <f>VLOOKUP($W$2,Form_PrimeiraFase!$C$2:$FB$69,90,FALSE)</f>
        <v>Sporting</v>
      </c>
      <c r="X96" s="33">
        <f t="shared" ref="X96:Y96" si="291">COUNTIF($C96:$W96,J96)</f>
        <v>19</v>
      </c>
      <c r="Y96" s="33">
        <f t="shared" si="291"/>
        <v>19</v>
      </c>
      <c r="Z96" s="33">
        <f t="shared" si="9"/>
        <v>19</v>
      </c>
      <c r="AA96" s="33">
        <f t="shared" si="10"/>
        <v>19</v>
      </c>
      <c r="AB96" s="33">
        <f t="shared" ref="AB96:AC96" si="292">COUNTIF($C96:$W96,N96)</f>
        <v>19</v>
      </c>
      <c r="AC96" s="33">
        <f t="shared" si="292"/>
        <v>1</v>
      </c>
      <c r="AD96" s="33">
        <f t="shared" si="12"/>
        <v>19</v>
      </c>
      <c r="AE96" s="33">
        <f t="shared" si="13"/>
        <v>19</v>
      </c>
      <c r="AF96" s="33">
        <f t="shared" si="14"/>
        <v>19</v>
      </c>
      <c r="AG96" s="33">
        <f t="shared" si="15"/>
        <v>19</v>
      </c>
      <c r="AH96" s="33">
        <f t="shared" si="16"/>
        <v>19</v>
      </c>
      <c r="AI96" s="33">
        <f t="shared" si="17"/>
        <v>19</v>
      </c>
      <c r="AJ96" s="33">
        <f t="shared" si="18"/>
        <v>19</v>
      </c>
      <c r="AK96" s="33">
        <f t="shared" si="19"/>
        <v>19</v>
      </c>
      <c r="AL96" s="33">
        <f t="shared" si="20"/>
        <v>1</v>
      </c>
      <c r="AM96" s="33">
        <f t="shared" si="21"/>
        <v>19</v>
      </c>
      <c r="AN96" s="33">
        <f t="shared" si="22"/>
        <v>19</v>
      </c>
      <c r="AO96" s="33">
        <f t="shared" ref="AO96:AR96" si="293">COUNTIF($C96:$W96,T96)</f>
        <v>19</v>
      </c>
      <c r="AP96" s="33">
        <f t="shared" si="293"/>
        <v>19</v>
      </c>
      <c r="AQ96" s="33">
        <f t="shared" si="293"/>
        <v>19</v>
      </c>
      <c r="AR96" s="33">
        <f t="shared" si="293"/>
        <v>19</v>
      </c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</row>
    <row r="97" ht="10.5" customHeight="1">
      <c r="A97" s="30" t="s">
        <v>69</v>
      </c>
      <c r="B97" s="31" t="s">
        <v>40</v>
      </c>
      <c r="C97" s="32" t="str">
        <f>VLOOKUP($C$2,Form_PrimeiraFase!$C$2:$FB$69,91,FALSE)</f>
        <v>Real Madrid</v>
      </c>
      <c r="D97" s="32" t="str">
        <f>VLOOKUP($D$2,Form_PrimeiraFase!$C$2:$FB$69,91,FALSE)</f>
        <v>Real Madrid</v>
      </c>
      <c r="E97" s="32" t="str">
        <f>VLOOKUP($E$2,Form_PrimeiraFase!$C$2:$FB$69,91,FALSE)</f>
        <v>Real Madrid</v>
      </c>
      <c r="F97" s="32" t="str">
        <f>VLOOKUP($F$2,Form_PrimeiraFase!$C$2:$FB$69,91,FALSE)</f>
        <v>Real Madrid</v>
      </c>
      <c r="G97" s="32" t="str">
        <f>VLOOKUP($G$2,Form_PrimeiraFase!$C$2:$FB$69,91,FALSE)</f>
        <v>Empate</v>
      </c>
      <c r="H97" s="32" t="str">
        <f>VLOOKUP($H$2,Form_PrimeiraFase!$C$2:$FB$69,91,FALSE)</f>
        <v>Real Madrid</v>
      </c>
      <c r="I97" s="32" t="str">
        <f>VLOOKUP($I$2,Form_PrimeiraFase!$C$2:$FB$69,91,FALSE)</f>
        <v>Real Madrid</v>
      </c>
      <c r="J97" s="32" t="str">
        <f>VLOOKUP($J$2,Form_PrimeiraFase!$C$2:$FB$69,91,FALSE)</f>
        <v>Real Madrid</v>
      </c>
      <c r="K97" s="32" t="str">
        <f>VLOOKUP($K$2,Form_PrimeiraFase!$C$2:$FB$69,91,FALSE)</f>
        <v>Real Madrid</v>
      </c>
      <c r="L97" s="32" t="str">
        <f>VLOOKUP($L$2,Form_PrimeiraFase!$C$2:$FB$69,91,FALSE)</f>
        <v>Real Madrid</v>
      </c>
      <c r="M97" s="32" t="str">
        <f>VLOOKUP($M$2,Form_PrimeiraFase!$C$2:$FB$69,91,FALSE)</f>
        <v>Real Madrid</v>
      </c>
      <c r="N97" s="32" t="str">
        <f>VLOOKUP($N$2,Form_PrimeiraFase!$C$2:$FB$69,91,FALSE)</f>
        <v>Real Madrid</v>
      </c>
      <c r="O97" s="32" t="str">
        <f>VLOOKUP($O$2,Form_PrimeiraFase!$C$2:$FB$69,91,FALSE)</f>
        <v>Real Madrid</v>
      </c>
      <c r="P97" s="32" t="str">
        <f>VLOOKUP($P$2,Form_PrimeiraFase!$C$2:$FB$69,91,FALSE)</f>
        <v>Real Madrid</v>
      </c>
      <c r="Q97" s="32" t="str">
        <f>VLOOKUP($Q$2,Form_PrimeiraFase!$C$2:$FB$69,91,FALSE)</f>
        <v>Empate</v>
      </c>
      <c r="R97" s="32" t="str">
        <f>VLOOKUP($R$2,Form_PrimeiraFase!$C$2:$FB$69,91,FALSE)</f>
        <v>Real Madrid</v>
      </c>
      <c r="S97" s="32" t="str">
        <f>VLOOKUP($S$2,Form_PrimeiraFase!$C$2:$FB$69,91,FALSE)</f>
        <v>Real Madrid</v>
      </c>
      <c r="T97" s="32" t="str">
        <f>VLOOKUP($T$2,Form_PrimeiraFase!$C$2:$FB$69,91,FALSE)</f>
        <v>Olympiacos</v>
      </c>
      <c r="U97" s="32" t="str">
        <f>VLOOKUP($U$2,Form_PrimeiraFase!$C$2:$FB$69,91,FALSE)</f>
        <v>Real Madrid</v>
      </c>
      <c r="V97" s="32" t="str">
        <f>VLOOKUP($V$2,Form_PrimeiraFase!$C$2:$FB$69,91,FALSE)</f>
        <v>Real Madrid</v>
      </c>
      <c r="W97" s="32" t="str">
        <f>VLOOKUP($W$2,Form_PrimeiraFase!$C$2:$FB$69,91,FALSE)</f>
        <v>Real Madrid</v>
      </c>
      <c r="X97" s="33">
        <f t="shared" ref="X97:Y97" si="294">COUNTIF($C97:$W97,J97)</f>
        <v>18</v>
      </c>
      <c r="Y97" s="33">
        <f t="shared" si="294"/>
        <v>18</v>
      </c>
      <c r="Z97" s="33">
        <f t="shared" si="9"/>
        <v>18</v>
      </c>
      <c r="AA97" s="33">
        <f t="shared" si="10"/>
        <v>18</v>
      </c>
      <c r="AB97" s="33">
        <f t="shared" ref="AB97:AC97" si="295">COUNTIF($C97:$W97,N97)</f>
        <v>18</v>
      </c>
      <c r="AC97" s="33">
        <f t="shared" si="295"/>
        <v>18</v>
      </c>
      <c r="AD97" s="33">
        <f t="shared" si="12"/>
        <v>2</v>
      </c>
      <c r="AE97" s="33">
        <f t="shared" si="13"/>
        <v>18</v>
      </c>
      <c r="AF97" s="33">
        <f t="shared" si="14"/>
        <v>18</v>
      </c>
      <c r="AG97" s="33">
        <f t="shared" si="15"/>
        <v>18</v>
      </c>
      <c r="AH97" s="33">
        <f t="shared" si="16"/>
        <v>18</v>
      </c>
      <c r="AI97" s="33">
        <f t="shared" si="17"/>
        <v>18</v>
      </c>
      <c r="AJ97" s="33">
        <f t="shared" si="18"/>
        <v>18</v>
      </c>
      <c r="AK97" s="33">
        <f t="shared" si="19"/>
        <v>18</v>
      </c>
      <c r="AL97" s="33">
        <f t="shared" si="20"/>
        <v>2</v>
      </c>
      <c r="AM97" s="33">
        <f t="shared" si="21"/>
        <v>18</v>
      </c>
      <c r="AN97" s="33">
        <f t="shared" si="22"/>
        <v>18</v>
      </c>
      <c r="AO97" s="33">
        <f t="shared" ref="AO97:AR97" si="296">COUNTIF($C97:$W97,T97)</f>
        <v>1</v>
      </c>
      <c r="AP97" s="33">
        <f t="shared" si="296"/>
        <v>18</v>
      </c>
      <c r="AQ97" s="33">
        <f t="shared" si="296"/>
        <v>18</v>
      </c>
      <c r="AR97" s="33">
        <f t="shared" si="296"/>
        <v>18</v>
      </c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</row>
    <row r="98" ht="10.5" customHeight="1">
      <c r="A98" s="30" t="s">
        <v>73</v>
      </c>
      <c r="B98" s="31" t="s">
        <v>74</v>
      </c>
      <c r="C98" s="32" t="str">
        <f>VLOOKUP($C$2,Form_PrimeiraFase!$C$2:$FB$69,92,FALSE)</f>
        <v>Olympiacos</v>
      </c>
      <c r="D98" s="32" t="str">
        <f>VLOOKUP($D$2,Form_PrimeiraFase!$C$2:$FB$69,92,FALSE)</f>
        <v>Olympiacos</v>
      </c>
      <c r="E98" s="32" t="str">
        <f>VLOOKUP($E$2,Form_PrimeiraFase!$C$2:$FB$69,92,FALSE)</f>
        <v>Olympiacos</v>
      </c>
      <c r="F98" s="32" t="str">
        <f>VLOOKUP($F$2,Form_PrimeiraFase!$C$2:$FB$69,92,FALSE)</f>
        <v>Olympiacos</v>
      </c>
      <c r="G98" s="32" t="str">
        <f>VLOOKUP($G$2,Form_PrimeiraFase!$C$2:$FB$69,92,FALSE)</f>
        <v>Kairat</v>
      </c>
      <c r="H98" s="32" t="str">
        <f>VLOOKUP($H$2,Form_PrimeiraFase!$C$2:$FB$69,92,FALSE)</f>
        <v>Olympiacos</v>
      </c>
      <c r="I98" s="32" t="str">
        <f>VLOOKUP($I$2,Form_PrimeiraFase!$C$2:$FB$69,92,FALSE)</f>
        <v>Olympiacos</v>
      </c>
      <c r="J98" s="32" t="str">
        <f>VLOOKUP($J$2,Form_PrimeiraFase!$C$2:$FB$69,92,FALSE)</f>
        <v>Olympiacos</v>
      </c>
      <c r="K98" s="32" t="str">
        <f>VLOOKUP($K$2,Form_PrimeiraFase!$C$2:$FB$69,92,FALSE)</f>
        <v>Olympiacos</v>
      </c>
      <c r="L98" s="32" t="str">
        <f>VLOOKUP($L$2,Form_PrimeiraFase!$C$2:$FB$69,92,FALSE)</f>
        <v>Kairat</v>
      </c>
      <c r="M98" s="32" t="str">
        <f>VLOOKUP($M$2,Form_PrimeiraFase!$C$2:$FB$69,92,FALSE)</f>
        <v>Olympiacos</v>
      </c>
      <c r="N98" s="32" t="str">
        <f>VLOOKUP($N$2,Form_PrimeiraFase!$C$2:$FB$69,92,FALSE)</f>
        <v>Olympiacos</v>
      </c>
      <c r="O98" s="32" t="str">
        <f>VLOOKUP($O$2,Form_PrimeiraFase!$C$2:$FB$69,92,FALSE)</f>
        <v>Empate</v>
      </c>
      <c r="P98" s="32" t="str">
        <f>VLOOKUP($P$2,Form_PrimeiraFase!$C$2:$FB$69,92,FALSE)</f>
        <v>Empate</v>
      </c>
      <c r="Q98" s="32" t="str">
        <f>VLOOKUP($Q$2,Form_PrimeiraFase!$C$2:$FB$69,92,FALSE)</f>
        <v>Olympiacos</v>
      </c>
      <c r="R98" s="32" t="str">
        <f>VLOOKUP($R$2,Form_PrimeiraFase!$C$2:$FB$69,92,FALSE)</f>
        <v>Kairat</v>
      </c>
      <c r="S98" s="32" t="str">
        <f>VLOOKUP($S$2,Form_PrimeiraFase!$C$2:$FB$69,92,FALSE)</f>
        <v>Empate</v>
      </c>
      <c r="T98" s="32" t="str">
        <f>VLOOKUP($T$2,Form_PrimeiraFase!$C$2:$FB$69,92,FALSE)</f>
        <v>Kairat</v>
      </c>
      <c r="U98" s="32" t="str">
        <f>VLOOKUP($U$2,Form_PrimeiraFase!$C$2:$FB$69,92,FALSE)</f>
        <v>Empate</v>
      </c>
      <c r="V98" s="32" t="str">
        <f>VLOOKUP($V$2,Form_PrimeiraFase!$C$2:$FB$69,92,FALSE)</f>
        <v>Olympiacos</v>
      </c>
      <c r="W98" s="32" t="str">
        <f>VLOOKUP($W$2,Form_PrimeiraFase!$C$2:$FB$69,92,FALSE)</f>
        <v>Olympiacos</v>
      </c>
      <c r="X98" s="33">
        <f t="shared" ref="X98:Y98" si="297">COUNTIF($C98:$W98,J98)</f>
        <v>13</v>
      </c>
      <c r="Y98" s="33">
        <f t="shared" si="297"/>
        <v>13</v>
      </c>
      <c r="Z98" s="33">
        <f t="shared" si="9"/>
        <v>4</v>
      </c>
      <c r="AA98" s="33">
        <f t="shared" si="10"/>
        <v>13</v>
      </c>
      <c r="AB98" s="33">
        <f t="shared" ref="AB98:AC98" si="298">COUNTIF($C98:$W98,N98)</f>
        <v>13</v>
      </c>
      <c r="AC98" s="33">
        <f t="shared" si="298"/>
        <v>4</v>
      </c>
      <c r="AD98" s="33">
        <f t="shared" si="12"/>
        <v>4</v>
      </c>
      <c r="AE98" s="33">
        <f t="shared" si="13"/>
        <v>13</v>
      </c>
      <c r="AF98" s="33">
        <f t="shared" si="14"/>
        <v>13</v>
      </c>
      <c r="AG98" s="33">
        <f t="shared" si="15"/>
        <v>4</v>
      </c>
      <c r="AH98" s="33">
        <f t="shared" si="16"/>
        <v>13</v>
      </c>
      <c r="AI98" s="33">
        <f t="shared" si="17"/>
        <v>4</v>
      </c>
      <c r="AJ98" s="33">
        <f t="shared" si="18"/>
        <v>13</v>
      </c>
      <c r="AK98" s="33">
        <f t="shared" si="19"/>
        <v>13</v>
      </c>
      <c r="AL98" s="33">
        <f t="shared" si="20"/>
        <v>13</v>
      </c>
      <c r="AM98" s="33">
        <f t="shared" si="21"/>
        <v>4</v>
      </c>
      <c r="AN98" s="33">
        <f t="shared" si="22"/>
        <v>13</v>
      </c>
      <c r="AO98" s="33">
        <f t="shared" ref="AO98:AR98" si="299">COUNTIF($C98:$W98,T98)</f>
        <v>4</v>
      </c>
      <c r="AP98" s="33">
        <f t="shared" si="299"/>
        <v>4</v>
      </c>
      <c r="AQ98" s="33">
        <f t="shared" si="299"/>
        <v>13</v>
      </c>
      <c r="AR98" s="33">
        <f t="shared" si="299"/>
        <v>13</v>
      </c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</row>
    <row r="99" ht="10.5" customHeight="1">
      <c r="A99" s="30" t="s">
        <v>73</v>
      </c>
      <c r="B99" s="31" t="s">
        <v>45</v>
      </c>
      <c r="C99" s="32" t="str">
        <f>VLOOKUP($C$2,Form_PrimeiraFase!$C$2:$FB$69,93,FALSE)</f>
        <v>Bayern de Munique</v>
      </c>
      <c r="D99" s="32" t="str">
        <f>VLOOKUP($D$2,Form_PrimeiraFase!$C$2:$FB$69,93,FALSE)</f>
        <v>Bayern de Munique</v>
      </c>
      <c r="E99" s="32" t="str">
        <f>VLOOKUP($E$2,Form_PrimeiraFase!$C$2:$FB$69,93,FALSE)</f>
        <v>Bayern de Munique</v>
      </c>
      <c r="F99" s="32" t="str">
        <f>VLOOKUP($F$2,Form_PrimeiraFase!$C$2:$FB$69,93,FALSE)</f>
        <v>Bayern de Munique</v>
      </c>
      <c r="G99" s="32" t="str">
        <f>VLOOKUP($G$2,Form_PrimeiraFase!$C$2:$FB$69,93,FALSE)</f>
        <v>Bayern de Munique</v>
      </c>
      <c r="H99" s="32" t="str">
        <f>VLOOKUP($H$2,Form_PrimeiraFase!$C$2:$FB$69,93,FALSE)</f>
        <v>Bayern de Munique</v>
      </c>
      <c r="I99" s="32" t="str">
        <f>VLOOKUP($I$2,Form_PrimeiraFase!$C$2:$FB$69,93,FALSE)</f>
        <v>Bayern de Munique</v>
      </c>
      <c r="J99" s="32" t="str">
        <f>VLOOKUP($J$2,Form_PrimeiraFase!$C$2:$FB$69,93,FALSE)</f>
        <v>Bayern de Munique</v>
      </c>
      <c r="K99" s="32" t="str">
        <f>VLOOKUP($K$2,Form_PrimeiraFase!$C$2:$FB$69,93,FALSE)</f>
        <v>Bayern de Munique</v>
      </c>
      <c r="L99" s="32" t="str">
        <f>VLOOKUP($L$2,Form_PrimeiraFase!$C$2:$FB$69,93,FALSE)</f>
        <v>Bayern de Munique</v>
      </c>
      <c r="M99" s="32" t="str">
        <f>VLOOKUP($M$2,Form_PrimeiraFase!$C$2:$FB$69,93,FALSE)</f>
        <v>Bayern de Munique</v>
      </c>
      <c r="N99" s="32" t="str">
        <f>VLOOKUP($N$2,Form_PrimeiraFase!$C$2:$FB$69,93,FALSE)</f>
        <v>Bayern de Munique</v>
      </c>
      <c r="O99" s="32" t="str">
        <f>VLOOKUP($O$2,Form_PrimeiraFase!$C$2:$FB$69,93,FALSE)</f>
        <v>Empate</v>
      </c>
      <c r="P99" s="32" t="str">
        <f>VLOOKUP($P$2,Form_PrimeiraFase!$C$2:$FB$69,93,FALSE)</f>
        <v>Bayern de Munique</v>
      </c>
      <c r="Q99" s="32" t="str">
        <f>VLOOKUP($Q$2,Form_PrimeiraFase!$C$2:$FB$69,93,FALSE)</f>
        <v>Bayern de Munique</v>
      </c>
      <c r="R99" s="32" t="str">
        <f>VLOOKUP($R$2,Form_PrimeiraFase!$C$2:$FB$69,93,FALSE)</f>
        <v>Bayern de Munique</v>
      </c>
      <c r="S99" s="32" t="str">
        <f>VLOOKUP($S$2,Form_PrimeiraFase!$C$2:$FB$69,93,FALSE)</f>
        <v>Bayern de Munique</v>
      </c>
      <c r="T99" s="32" t="str">
        <f>VLOOKUP($T$2,Form_PrimeiraFase!$C$2:$FB$69,93,FALSE)</f>
        <v>Bayern de Munique</v>
      </c>
      <c r="U99" s="32" t="str">
        <f>VLOOKUP($U$2,Form_PrimeiraFase!$C$2:$FB$69,93,FALSE)</f>
        <v>Bayern de Munique</v>
      </c>
      <c r="V99" s="32" t="str">
        <f>VLOOKUP($V$2,Form_PrimeiraFase!$C$2:$FB$69,93,FALSE)</f>
        <v>Bayern de Munique</v>
      </c>
      <c r="W99" s="32" t="str">
        <f>VLOOKUP($W$2,Form_PrimeiraFase!$C$2:$FB$69,93,FALSE)</f>
        <v>Bayern de Munique</v>
      </c>
      <c r="X99" s="33">
        <f t="shared" ref="X99:Y99" si="300">COUNTIF($C99:$W99,J99)</f>
        <v>20</v>
      </c>
      <c r="Y99" s="33">
        <f t="shared" si="300"/>
        <v>20</v>
      </c>
      <c r="Z99" s="33">
        <f t="shared" si="9"/>
        <v>20</v>
      </c>
      <c r="AA99" s="33">
        <f t="shared" si="10"/>
        <v>20</v>
      </c>
      <c r="AB99" s="33">
        <f t="shared" ref="AB99:AC99" si="301">COUNTIF($C99:$W99,N99)</f>
        <v>20</v>
      </c>
      <c r="AC99" s="33">
        <f t="shared" si="301"/>
        <v>1</v>
      </c>
      <c r="AD99" s="33">
        <f t="shared" si="12"/>
        <v>20</v>
      </c>
      <c r="AE99" s="33">
        <f t="shared" si="13"/>
        <v>20</v>
      </c>
      <c r="AF99" s="33">
        <f t="shared" si="14"/>
        <v>20</v>
      </c>
      <c r="AG99" s="33">
        <f t="shared" si="15"/>
        <v>20</v>
      </c>
      <c r="AH99" s="33">
        <f t="shared" si="16"/>
        <v>20</v>
      </c>
      <c r="AI99" s="33">
        <f t="shared" si="17"/>
        <v>20</v>
      </c>
      <c r="AJ99" s="33">
        <f t="shared" si="18"/>
        <v>20</v>
      </c>
      <c r="AK99" s="33">
        <f t="shared" si="19"/>
        <v>20</v>
      </c>
      <c r="AL99" s="33">
        <f t="shared" si="20"/>
        <v>20</v>
      </c>
      <c r="AM99" s="33">
        <f t="shared" si="21"/>
        <v>20</v>
      </c>
      <c r="AN99" s="33">
        <f t="shared" si="22"/>
        <v>20</v>
      </c>
      <c r="AO99" s="33">
        <f t="shared" ref="AO99:AR99" si="302">COUNTIF($C99:$W99,T99)</f>
        <v>20</v>
      </c>
      <c r="AP99" s="33">
        <f t="shared" si="302"/>
        <v>20</v>
      </c>
      <c r="AQ99" s="33">
        <f t="shared" si="302"/>
        <v>20</v>
      </c>
      <c r="AR99" s="33">
        <f t="shared" si="302"/>
        <v>20</v>
      </c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</row>
    <row r="100" ht="10.5" customHeight="1">
      <c r="A100" s="30" t="s">
        <v>73</v>
      </c>
      <c r="B100" s="31" t="s">
        <v>46</v>
      </c>
      <c r="C100" s="32" t="str">
        <f>VLOOKUP($C$2,Form_PrimeiraFase!$C$2:$FB$69,94,FALSE)</f>
        <v>Liverpool</v>
      </c>
      <c r="D100" s="32" t="str">
        <f>VLOOKUP($D$2,Form_PrimeiraFase!$C$2:$FB$69,94,FALSE)</f>
        <v>Empate</v>
      </c>
      <c r="E100" s="32" t="str">
        <f>VLOOKUP($E$2,Form_PrimeiraFase!$C$2:$FB$69,94,FALSE)</f>
        <v>Liverpool</v>
      </c>
      <c r="F100" s="32" t="str">
        <f>VLOOKUP($F$2,Form_PrimeiraFase!$C$2:$FB$69,94,FALSE)</f>
        <v>Liverpool</v>
      </c>
      <c r="G100" s="32" t="str">
        <f>VLOOKUP($G$2,Form_PrimeiraFase!$C$2:$FB$69,94,FALSE)</f>
        <v>Empate</v>
      </c>
      <c r="H100" s="32" t="str">
        <f>VLOOKUP($H$2,Form_PrimeiraFase!$C$2:$FB$69,94,FALSE)</f>
        <v>Liverpool</v>
      </c>
      <c r="I100" s="32" t="str">
        <f>VLOOKUP($I$2,Form_PrimeiraFase!$C$2:$FB$69,94,FALSE)</f>
        <v>Internazionale</v>
      </c>
      <c r="J100" s="32" t="str">
        <f>VLOOKUP($J$2,Form_PrimeiraFase!$C$2:$FB$69,94,FALSE)</f>
        <v>Liverpool</v>
      </c>
      <c r="K100" s="32" t="str">
        <f>VLOOKUP($K$2,Form_PrimeiraFase!$C$2:$FB$69,94,FALSE)</f>
        <v>Empate</v>
      </c>
      <c r="L100" s="32" t="str">
        <f>VLOOKUP($L$2,Form_PrimeiraFase!$C$2:$FB$69,94,FALSE)</f>
        <v>Internazionale</v>
      </c>
      <c r="M100" s="32" t="str">
        <f>VLOOKUP($M$2,Form_PrimeiraFase!$C$2:$FB$69,94,FALSE)</f>
        <v>Liverpool</v>
      </c>
      <c r="N100" s="32" t="str">
        <f>VLOOKUP($N$2,Form_PrimeiraFase!$C$2:$FB$69,94,FALSE)</f>
        <v>Liverpool</v>
      </c>
      <c r="O100" s="32" t="str">
        <f>VLOOKUP($O$2,Form_PrimeiraFase!$C$2:$FB$69,94,FALSE)</f>
        <v>Empate</v>
      </c>
      <c r="P100" s="32" t="str">
        <f>VLOOKUP($P$2,Form_PrimeiraFase!$C$2:$FB$69,94,FALSE)</f>
        <v>Liverpool</v>
      </c>
      <c r="Q100" s="32" t="str">
        <f>VLOOKUP($Q$2,Form_PrimeiraFase!$C$2:$FB$69,94,FALSE)</f>
        <v>Liverpool</v>
      </c>
      <c r="R100" s="32" t="str">
        <f>VLOOKUP($R$2,Form_PrimeiraFase!$C$2:$FB$69,94,FALSE)</f>
        <v>Internazionale</v>
      </c>
      <c r="S100" s="32" t="str">
        <f>VLOOKUP($S$2,Form_PrimeiraFase!$C$2:$FB$69,94,FALSE)</f>
        <v>Liverpool</v>
      </c>
      <c r="T100" s="32" t="str">
        <f>VLOOKUP($T$2,Form_PrimeiraFase!$C$2:$FB$69,94,FALSE)</f>
        <v>Internazionale</v>
      </c>
      <c r="U100" s="32" t="str">
        <f>VLOOKUP($U$2,Form_PrimeiraFase!$C$2:$FB$69,94,FALSE)</f>
        <v>Internazionale</v>
      </c>
      <c r="V100" s="32" t="str">
        <f>VLOOKUP($V$2,Form_PrimeiraFase!$C$2:$FB$69,94,FALSE)</f>
        <v>Liverpool</v>
      </c>
      <c r="W100" s="32" t="str">
        <f>VLOOKUP($W$2,Form_PrimeiraFase!$C$2:$FB$69,94,FALSE)</f>
        <v>Liverpool</v>
      </c>
      <c r="X100" s="33">
        <f t="shared" ref="X100:Y100" si="303">COUNTIF($C100:$W100,J100)</f>
        <v>12</v>
      </c>
      <c r="Y100" s="33">
        <f t="shared" si="303"/>
        <v>4</v>
      </c>
      <c r="Z100" s="33">
        <f t="shared" si="9"/>
        <v>5</v>
      </c>
      <c r="AA100" s="33">
        <f t="shared" si="10"/>
        <v>4</v>
      </c>
      <c r="AB100" s="33">
        <f t="shared" ref="AB100:AC100" si="304">COUNTIF($C100:$W100,N100)</f>
        <v>12</v>
      </c>
      <c r="AC100" s="33">
        <f t="shared" si="304"/>
        <v>4</v>
      </c>
      <c r="AD100" s="33">
        <f t="shared" si="12"/>
        <v>4</v>
      </c>
      <c r="AE100" s="33">
        <f t="shared" si="13"/>
        <v>12</v>
      </c>
      <c r="AF100" s="33">
        <f t="shared" si="14"/>
        <v>12</v>
      </c>
      <c r="AG100" s="33">
        <f t="shared" si="15"/>
        <v>12</v>
      </c>
      <c r="AH100" s="33">
        <f t="shared" si="16"/>
        <v>12</v>
      </c>
      <c r="AI100" s="33">
        <f t="shared" si="17"/>
        <v>12</v>
      </c>
      <c r="AJ100" s="33">
        <f t="shared" si="18"/>
        <v>12</v>
      </c>
      <c r="AK100" s="33">
        <f t="shared" si="19"/>
        <v>5</v>
      </c>
      <c r="AL100" s="33">
        <f t="shared" si="20"/>
        <v>12</v>
      </c>
      <c r="AM100" s="33">
        <f t="shared" si="21"/>
        <v>5</v>
      </c>
      <c r="AN100" s="33">
        <f t="shared" si="22"/>
        <v>12</v>
      </c>
      <c r="AO100" s="33">
        <f t="shared" ref="AO100:AR100" si="305">COUNTIF($C100:$W100,T100)</f>
        <v>5</v>
      </c>
      <c r="AP100" s="33">
        <f t="shared" si="305"/>
        <v>5</v>
      </c>
      <c r="AQ100" s="33">
        <f t="shared" si="305"/>
        <v>12</v>
      </c>
      <c r="AR100" s="33">
        <f t="shared" si="305"/>
        <v>12</v>
      </c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</row>
    <row r="101" ht="10.5" customHeight="1">
      <c r="A101" s="30" t="s">
        <v>73</v>
      </c>
      <c r="B101" s="31" t="s">
        <v>52</v>
      </c>
      <c r="C101" s="32" t="str">
        <f>VLOOKUP($C$2,Form_PrimeiraFase!$C$2:$FB$69,95,FALSE)</f>
        <v>Barcelona</v>
      </c>
      <c r="D101" s="32" t="str">
        <f>VLOOKUP($D$2,Form_PrimeiraFase!$C$2:$FB$69,95,FALSE)</f>
        <v>Barcelona</v>
      </c>
      <c r="E101" s="32" t="str">
        <f>VLOOKUP($E$2,Form_PrimeiraFase!$C$2:$FB$69,95,FALSE)</f>
        <v>Barcelona</v>
      </c>
      <c r="F101" s="32" t="str">
        <f>VLOOKUP($F$2,Form_PrimeiraFase!$C$2:$FB$69,95,FALSE)</f>
        <v>Barcelona</v>
      </c>
      <c r="G101" s="32" t="str">
        <f>VLOOKUP($G$2,Form_PrimeiraFase!$C$2:$FB$69,95,FALSE)</f>
        <v>Barcelona</v>
      </c>
      <c r="H101" s="32" t="str">
        <f>VLOOKUP($H$2,Form_PrimeiraFase!$C$2:$FB$69,95,FALSE)</f>
        <v>Barcelona</v>
      </c>
      <c r="I101" s="32" t="str">
        <f>VLOOKUP($I$2,Form_PrimeiraFase!$C$2:$FB$69,95,FALSE)</f>
        <v>Barcelona</v>
      </c>
      <c r="J101" s="32" t="str">
        <f>VLOOKUP($J$2,Form_PrimeiraFase!$C$2:$FB$69,95,FALSE)</f>
        <v>Barcelona</v>
      </c>
      <c r="K101" s="32" t="str">
        <f>VLOOKUP($K$2,Form_PrimeiraFase!$C$2:$FB$69,95,FALSE)</f>
        <v>Barcelona</v>
      </c>
      <c r="L101" s="32" t="str">
        <f>VLOOKUP($L$2,Form_PrimeiraFase!$C$2:$FB$69,95,FALSE)</f>
        <v>Barcelona</v>
      </c>
      <c r="M101" s="32" t="str">
        <f>VLOOKUP($M$2,Form_PrimeiraFase!$C$2:$FB$69,95,FALSE)</f>
        <v>Barcelona</v>
      </c>
      <c r="N101" s="32" t="str">
        <f>VLOOKUP($N$2,Form_PrimeiraFase!$C$2:$FB$69,95,FALSE)</f>
        <v>Barcelona</v>
      </c>
      <c r="O101" s="32" t="str">
        <f>VLOOKUP($O$2,Form_PrimeiraFase!$C$2:$FB$69,95,FALSE)</f>
        <v>Barcelona</v>
      </c>
      <c r="P101" s="32" t="str">
        <f>VLOOKUP($P$2,Form_PrimeiraFase!$C$2:$FB$69,95,FALSE)</f>
        <v>Barcelona</v>
      </c>
      <c r="Q101" s="32" t="str">
        <f>VLOOKUP($Q$2,Form_PrimeiraFase!$C$2:$FB$69,95,FALSE)</f>
        <v>Barcelona</v>
      </c>
      <c r="R101" s="32" t="str">
        <f>VLOOKUP($R$2,Form_PrimeiraFase!$C$2:$FB$69,95,FALSE)</f>
        <v>Barcelona</v>
      </c>
      <c r="S101" s="32" t="str">
        <f>VLOOKUP($S$2,Form_PrimeiraFase!$C$2:$FB$69,95,FALSE)</f>
        <v>Barcelona</v>
      </c>
      <c r="T101" s="32" t="str">
        <f>VLOOKUP($T$2,Form_PrimeiraFase!$C$2:$FB$69,95,FALSE)</f>
        <v>Barcelona</v>
      </c>
      <c r="U101" s="32" t="str">
        <f>VLOOKUP($U$2,Form_PrimeiraFase!$C$2:$FB$69,95,FALSE)</f>
        <v>Barcelona</v>
      </c>
      <c r="V101" s="32" t="str">
        <f>VLOOKUP($V$2,Form_PrimeiraFase!$C$2:$FB$69,95,FALSE)</f>
        <v>Barcelona</v>
      </c>
      <c r="W101" s="32" t="str">
        <f>VLOOKUP($W$2,Form_PrimeiraFase!$C$2:$FB$69,95,FALSE)</f>
        <v>Barcelona</v>
      </c>
      <c r="X101" s="33">
        <f t="shared" ref="X101:Y101" si="306">COUNTIF($C101:$W101,J101)</f>
        <v>21</v>
      </c>
      <c r="Y101" s="33">
        <f t="shared" si="306"/>
        <v>21</v>
      </c>
      <c r="Z101" s="33">
        <f t="shared" si="9"/>
        <v>21</v>
      </c>
      <c r="AA101" s="33">
        <f t="shared" si="10"/>
        <v>21</v>
      </c>
      <c r="AB101" s="33">
        <f t="shared" ref="AB101:AC101" si="307">COUNTIF($C101:$W101,N101)</f>
        <v>21</v>
      </c>
      <c r="AC101" s="33">
        <f t="shared" si="307"/>
        <v>21</v>
      </c>
      <c r="AD101" s="33">
        <f t="shared" si="12"/>
        <v>21</v>
      </c>
      <c r="AE101" s="33">
        <f t="shared" si="13"/>
        <v>21</v>
      </c>
      <c r="AF101" s="33">
        <f t="shared" si="14"/>
        <v>21</v>
      </c>
      <c r="AG101" s="33">
        <f t="shared" si="15"/>
        <v>21</v>
      </c>
      <c r="AH101" s="33">
        <f t="shared" si="16"/>
        <v>21</v>
      </c>
      <c r="AI101" s="33">
        <f t="shared" si="17"/>
        <v>21</v>
      </c>
      <c r="AJ101" s="33">
        <f t="shared" si="18"/>
        <v>21</v>
      </c>
      <c r="AK101" s="33">
        <f t="shared" si="19"/>
        <v>21</v>
      </c>
      <c r="AL101" s="33">
        <f t="shared" si="20"/>
        <v>21</v>
      </c>
      <c r="AM101" s="33">
        <f t="shared" si="21"/>
        <v>21</v>
      </c>
      <c r="AN101" s="33">
        <f t="shared" si="22"/>
        <v>21</v>
      </c>
      <c r="AO101" s="33">
        <f t="shared" ref="AO101:AR101" si="308">COUNTIF($C101:$W101,T101)</f>
        <v>21</v>
      </c>
      <c r="AP101" s="33">
        <f t="shared" si="308"/>
        <v>21</v>
      </c>
      <c r="AQ101" s="33">
        <f t="shared" si="308"/>
        <v>21</v>
      </c>
      <c r="AR101" s="33">
        <f t="shared" si="308"/>
        <v>21</v>
      </c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</row>
    <row r="102" ht="10.5" customHeight="1">
      <c r="A102" s="30" t="s">
        <v>73</v>
      </c>
      <c r="B102" s="31" t="s">
        <v>54</v>
      </c>
      <c r="C102" s="32" t="str">
        <f>VLOOKUP($C$2,Form_PrimeiraFase!$C$2:$FB$69,96,FALSE)</f>
        <v>Empate</v>
      </c>
      <c r="D102" s="32" t="str">
        <f>VLOOKUP($D$2,Form_PrimeiraFase!$C$2:$FB$69,96,FALSE)</f>
        <v>Empate</v>
      </c>
      <c r="E102" s="32" t="str">
        <f>VLOOKUP($E$2,Form_PrimeiraFase!$C$2:$FB$69,96,FALSE)</f>
        <v>Chelsea</v>
      </c>
      <c r="F102" s="32" t="str">
        <f>VLOOKUP($F$2,Form_PrimeiraFase!$C$2:$FB$69,96,FALSE)</f>
        <v>Chelsea</v>
      </c>
      <c r="G102" s="32" t="str">
        <f>VLOOKUP($G$2,Form_PrimeiraFase!$C$2:$FB$69,96,FALSE)</f>
        <v>Empate</v>
      </c>
      <c r="H102" s="32" t="str">
        <f>VLOOKUP($H$2,Form_PrimeiraFase!$C$2:$FB$69,96,FALSE)</f>
        <v>Chelsea</v>
      </c>
      <c r="I102" s="32" t="str">
        <f>VLOOKUP($I$2,Form_PrimeiraFase!$C$2:$FB$69,96,FALSE)</f>
        <v>Chelsea</v>
      </c>
      <c r="J102" s="32" t="str">
        <f>VLOOKUP($J$2,Form_PrimeiraFase!$C$2:$FB$69,96,FALSE)</f>
        <v>Atalanta</v>
      </c>
      <c r="K102" s="32" t="str">
        <f>VLOOKUP($K$2,Form_PrimeiraFase!$C$2:$FB$69,96,FALSE)</f>
        <v>Chelsea</v>
      </c>
      <c r="L102" s="32" t="str">
        <f>VLOOKUP($L$2,Form_PrimeiraFase!$C$2:$FB$69,96,FALSE)</f>
        <v>Chelsea</v>
      </c>
      <c r="M102" s="32" t="str">
        <f>VLOOKUP($M$2,Form_PrimeiraFase!$C$2:$FB$69,96,FALSE)</f>
        <v>Chelsea</v>
      </c>
      <c r="N102" s="32" t="str">
        <f>VLOOKUP($N$2,Form_PrimeiraFase!$C$2:$FB$69,96,FALSE)</f>
        <v>Chelsea</v>
      </c>
      <c r="O102" s="32" t="str">
        <f>VLOOKUP($O$2,Form_PrimeiraFase!$C$2:$FB$69,96,FALSE)</f>
        <v>Chelsea</v>
      </c>
      <c r="P102" s="32" t="str">
        <f>VLOOKUP($P$2,Form_PrimeiraFase!$C$2:$FB$69,96,FALSE)</f>
        <v>Chelsea</v>
      </c>
      <c r="Q102" s="32" t="str">
        <f>VLOOKUP($Q$2,Form_PrimeiraFase!$C$2:$FB$69,96,FALSE)</f>
        <v>Empate</v>
      </c>
      <c r="R102" s="32" t="str">
        <f>VLOOKUP($R$2,Form_PrimeiraFase!$C$2:$FB$69,96,FALSE)</f>
        <v>Chelsea</v>
      </c>
      <c r="S102" s="32" t="str">
        <f>VLOOKUP($S$2,Form_PrimeiraFase!$C$2:$FB$69,96,FALSE)</f>
        <v>Chelsea</v>
      </c>
      <c r="T102" s="32" t="str">
        <f>VLOOKUP($T$2,Form_PrimeiraFase!$C$2:$FB$69,96,FALSE)</f>
        <v>Atalanta</v>
      </c>
      <c r="U102" s="32" t="str">
        <f>VLOOKUP($U$2,Form_PrimeiraFase!$C$2:$FB$69,96,FALSE)</f>
        <v>Empate</v>
      </c>
      <c r="V102" s="32" t="str">
        <f>VLOOKUP($V$2,Form_PrimeiraFase!$C$2:$FB$69,96,FALSE)</f>
        <v>Chelsea</v>
      </c>
      <c r="W102" s="32" t="str">
        <f>VLOOKUP($W$2,Form_PrimeiraFase!$C$2:$FB$69,96,FALSE)</f>
        <v>Chelsea</v>
      </c>
      <c r="X102" s="33">
        <f t="shared" ref="X102:Y102" si="309">COUNTIF($C102:$W102,J102)</f>
        <v>2</v>
      </c>
      <c r="Y102" s="33">
        <f t="shared" si="309"/>
        <v>14</v>
      </c>
      <c r="Z102" s="33">
        <f t="shared" si="9"/>
        <v>14</v>
      </c>
      <c r="AA102" s="33">
        <f t="shared" si="10"/>
        <v>5</v>
      </c>
      <c r="AB102" s="33">
        <f t="shared" ref="AB102:AC102" si="310">COUNTIF($C102:$W102,N102)</f>
        <v>14</v>
      </c>
      <c r="AC102" s="33">
        <f t="shared" si="310"/>
        <v>14</v>
      </c>
      <c r="AD102" s="33">
        <f t="shared" si="12"/>
        <v>5</v>
      </c>
      <c r="AE102" s="33">
        <f t="shared" si="13"/>
        <v>14</v>
      </c>
      <c r="AF102" s="33">
        <f t="shared" si="14"/>
        <v>14</v>
      </c>
      <c r="AG102" s="33">
        <f t="shared" si="15"/>
        <v>14</v>
      </c>
      <c r="AH102" s="33">
        <f t="shared" si="16"/>
        <v>5</v>
      </c>
      <c r="AI102" s="33">
        <f t="shared" si="17"/>
        <v>14</v>
      </c>
      <c r="AJ102" s="33">
        <f t="shared" si="18"/>
        <v>14</v>
      </c>
      <c r="AK102" s="33">
        <f t="shared" si="19"/>
        <v>14</v>
      </c>
      <c r="AL102" s="33">
        <f t="shared" si="20"/>
        <v>5</v>
      </c>
      <c r="AM102" s="33">
        <f t="shared" si="21"/>
        <v>14</v>
      </c>
      <c r="AN102" s="33">
        <f t="shared" si="22"/>
        <v>14</v>
      </c>
      <c r="AO102" s="33">
        <f t="shared" ref="AO102:AR102" si="311">COUNTIF($C102:$W102,T102)</f>
        <v>2</v>
      </c>
      <c r="AP102" s="33">
        <f t="shared" si="311"/>
        <v>5</v>
      </c>
      <c r="AQ102" s="33">
        <f t="shared" si="311"/>
        <v>14</v>
      </c>
      <c r="AR102" s="33">
        <f t="shared" si="311"/>
        <v>14</v>
      </c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</row>
    <row r="103" ht="10.5" customHeight="1">
      <c r="A103" s="30" t="s">
        <v>73</v>
      </c>
      <c r="B103" s="31" t="s">
        <v>43</v>
      </c>
      <c r="C103" s="32" t="str">
        <f>VLOOKUP($C$2,Form_PrimeiraFase!$C$2:$FB$69,97,FALSE)</f>
        <v>Tottenham</v>
      </c>
      <c r="D103" s="32" t="str">
        <f>VLOOKUP($D$2,Form_PrimeiraFase!$C$2:$FB$69,97,FALSE)</f>
        <v>Tottenham</v>
      </c>
      <c r="E103" s="32" t="str">
        <f>VLOOKUP($E$2,Form_PrimeiraFase!$C$2:$FB$69,97,FALSE)</f>
        <v>Tottenham</v>
      </c>
      <c r="F103" s="32" t="str">
        <f>VLOOKUP($F$2,Form_PrimeiraFase!$C$2:$FB$69,97,FALSE)</f>
        <v>Tottenham</v>
      </c>
      <c r="G103" s="32" t="str">
        <f>VLOOKUP($G$2,Form_PrimeiraFase!$C$2:$FB$69,97,FALSE)</f>
        <v>Tottenham</v>
      </c>
      <c r="H103" s="32" t="str">
        <f>VLOOKUP($H$2,Form_PrimeiraFase!$C$2:$FB$69,97,FALSE)</f>
        <v>Tottenham</v>
      </c>
      <c r="I103" s="32" t="str">
        <f>VLOOKUP($I$2,Form_PrimeiraFase!$C$2:$FB$69,97,FALSE)</f>
        <v>Tottenham</v>
      </c>
      <c r="J103" s="32" t="str">
        <f>VLOOKUP($J$2,Form_PrimeiraFase!$C$2:$FB$69,97,FALSE)</f>
        <v>Tottenham</v>
      </c>
      <c r="K103" s="32" t="str">
        <f>VLOOKUP($K$2,Form_PrimeiraFase!$C$2:$FB$69,97,FALSE)</f>
        <v>Tottenham</v>
      </c>
      <c r="L103" s="32" t="str">
        <f>VLOOKUP($L$2,Form_PrimeiraFase!$C$2:$FB$69,97,FALSE)</f>
        <v>Tottenham</v>
      </c>
      <c r="M103" s="32" t="str">
        <f>VLOOKUP($M$2,Form_PrimeiraFase!$C$2:$FB$69,97,FALSE)</f>
        <v>Tottenham</v>
      </c>
      <c r="N103" s="32" t="str">
        <f>VLOOKUP($N$2,Form_PrimeiraFase!$C$2:$FB$69,97,FALSE)</f>
        <v>Tottenham</v>
      </c>
      <c r="O103" s="32" t="str">
        <f>VLOOKUP($O$2,Form_PrimeiraFase!$C$2:$FB$69,97,FALSE)</f>
        <v>Tottenham</v>
      </c>
      <c r="P103" s="32" t="str">
        <f>VLOOKUP($P$2,Form_PrimeiraFase!$C$2:$FB$69,97,FALSE)</f>
        <v>Tottenham</v>
      </c>
      <c r="Q103" s="32" t="str">
        <f>VLOOKUP($Q$2,Form_PrimeiraFase!$C$2:$FB$69,97,FALSE)</f>
        <v>Tottenham</v>
      </c>
      <c r="R103" s="32" t="str">
        <f>VLOOKUP($R$2,Form_PrimeiraFase!$C$2:$FB$69,97,FALSE)</f>
        <v>Tottenham</v>
      </c>
      <c r="S103" s="32" t="str">
        <f>VLOOKUP($S$2,Form_PrimeiraFase!$C$2:$FB$69,97,FALSE)</f>
        <v>Tottenham</v>
      </c>
      <c r="T103" s="32" t="str">
        <f>VLOOKUP($T$2,Form_PrimeiraFase!$C$2:$FB$69,97,FALSE)</f>
        <v>Tottenham</v>
      </c>
      <c r="U103" s="32" t="str">
        <f>VLOOKUP($U$2,Form_PrimeiraFase!$C$2:$FB$69,97,FALSE)</f>
        <v>Tottenham</v>
      </c>
      <c r="V103" s="32" t="str">
        <f>VLOOKUP($V$2,Form_PrimeiraFase!$C$2:$FB$69,97,FALSE)</f>
        <v>Tottenham</v>
      </c>
      <c r="W103" s="32" t="str">
        <f>VLOOKUP($W$2,Form_PrimeiraFase!$C$2:$FB$69,97,FALSE)</f>
        <v>Tottenham</v>
      </c>
      <c r="X103" s="33">
        <f t="shared" ref="X103:Y103" si="312">COUNTIF($C103:$W103,J103)</f>
        <v>21</v>
      </c>
      <c r="Y103" s="33">
        <f t="shared" si="312"/>
        <v>21</v>
      </c>
      <c r="Z103" s="33">
        <f t="shared" si="9"/>
        <v>21</v>
      </c>
      <c r="AA103" s="33">
        <f t="shared" si="10"/>
        <v>21</v>
      </c>
      <c r="AB103" s="33">
        <f t="shared" ref="AB103:AC103" si="313">COUNTIF($C103:$W103,N103)</f>
        <v>21</v>
      </c>
      <c r="AC103" s="33">
        <f t="shared" si="313"/>
        <v>21</v>
      </c>
      <c r="AD103" s="33">
        <f t="shared" si="12"/>
        <v>21</v>
      </c>
      <c r="AE103" s="33">
        <f t="shared" si="13"/>
        <v>21</v>
      </c>
      <c r="AF103" s="33">
        <f t="shared" si="14"/>
        <v>21</v>
      </c>
      <c r="AG103" s="33">
        <f t="shared" si="15"/>
        <v>21</v>
      </c>
      <c r="AH103" s="33">
        <f t="shared" si="16"/>
        <v>21</v>
      </c>
      <c r="AI103" s="33">
        <f t="shared" si="17"/>
        <v>21</v>
      </c>
      <c r="AJ103" s="33">
        <f t="shared" si="18"/>
        <v>21</v>
      </c>
      <c r="AK103" s="33">
        <f t="shared" si="19"/>
        <v>21</v>
      </c>
      <c r="AL103" s="33">
        <f t="shared" si="20"/>
        <v>21</v>
      </c>
      <c r="AM103" s="33">
        <f t="shared" si="21"/>
        <v>21</v>
      </c>
      <c r="AN103" s="33">
        <f t="shared" si="22"/>
        <v>21</v>
      </c>
      <c r="AO103" s="33">
        <f t="shared" ref="AO103:AR103" si="314">COUNTIF($C103:$W103,T103)</f>
        <v>21</v>
      </c>
      <c r="AP103" s="33">
        <f t="shared" si="314"/>
        <v>21</v>
      </c>
      <c r="AQ103" s="33">
        <f t="shared" si="314"/>
        <v>21</v>
      </c>
      <c r="AR103" s="33">
        <f t="shared" si="314"/>
        <v>21</v>
      </c>
      <c r="AS103" s="25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</row>
    <row r="104" ht="10.5" customHeight="1">
      <c r="A104" s="30" t="s">
        <v>73</v>
      </c>
      <c r="B104" s="31" t="s">
        <v>56</v>
      </c>
      <c r="C104" s="32" t="str">
        <f>VLOOKUP($C$2,Form_PrimeiraFase!$C$2:$FB$69,98,FALSE)</f>
        <v>Empate</v>
      </c>
      <c r="D104" s="32" t="str">
        <f>VLOOKUP($D$2,Form_PrimeiraFase!$C$2:$FB$69,98,FALSE)</f>
        <v>PSV Eindhoven</v>
      </c>
      <c r="E104" s="32" t="str">
        <f>VLOOKUP($E$2,Form_PrimeiraFase!$C$2:$FB$69,98,FALSE)</f>
        <v>Atlético de Madrid</v>
      </c>
      <c r="F104" s="32" t="str">
        <f>VLOOKUP($F$2,Form_PrimeiraFase!$C$2:$FB$69,98,FALSE)</f>
        <v>Atlético de Madrid</v>
      </c>
      <c r="G104" s="32" t="str">
        <f>VLOOKUP($G$2,Form_PrimeiraFase!$C$2:$FB$69,98,FALSE)</f>
        <v>Atlético de Madrid</v>
      </c>
      <c r="H104" s="32" t="str">
        <f>VLOOKUP($H$2,Form_PrimeiraFase!$C$2:$FB$69,98,FALSE)</f>
        <v>Atlético de Madrid</v>
      </c>
      <c r="I104" s="32" t="str">
        <f>VLOOKUP($I$2,Form_PrimeiraFase!$C$2:$FB$69,98,FALSE)</f>
        <v>Atlético de Madrid</v>
      </c>
      <c r="J104" s="32" t="str">
        <f>VLOOKUP($J$2,Form_PrimeiraFase!$C$2:$FB$69,98,FALSE)</f>
        <v>Empate</v>
      </c>
      <c r="K104" s="32" t="str">
        <f>VLOOKUP($K$2,Form_PrimeiraFase!$C$2:$FB$69,98,FALSE)</f>
        <v>Atlético de Madrid</v>
      </c>
      <c r="L104" s="32" t="str">
        <f>VLOOKUP($L$2,Form_PrimeiraFase!$C$2:$FB$69,98,FALSE)</f>
        <v>Atlético de Madrid</v>
      </c>
      <c r="M104" s="32" t="str">
        <f>VLOOKUP($M$2,Form_PrimeiraFase!$C$2:$FB$69,98,FALSE)</f>
        <v>PSV Eindhoven</v>
      </c>
      <c r="N104" s="32" t="str">
        <f>VLOOKUP($N$2,Form_PrimeiraFase!$C$2:$FB$69,98,FALSE)</f>
        <v>Atlético de Madrid</v>
      </c>
      <c r="O104" s="32" t="str">
        <f>VLOOKUP($O$2,Form_PrimeiraFase!$C$2:$FB$69,98,FALSE)</f>
        <v>Empate</v>
      </c>
      <c r="P104" s="32" t="str">
        <f>VLOOKUP($P$2,Form_PrimeiraFase!$C$2:$FB$69,98,FALSE)</f>
        <v>Atlético de Madrid</v>
      </c>
      <c r="Q104" s="32" t="str">
        <f>VLOOKUP($Q$2,Form_PrimeiraFase!$C$2:$FB$69,98,FALSE)</f>
        <v>PSV Eindhoven</v>
      </c>
      <c r="R104" s="32" t="str">
        <f>VLOOKUP($R$2,Form_PrimeiraFase!$C$2:$FB$69,98,FALSE)</f>
        <v>Atlético de Madrid</v>
      </c>
      <c r="S104" s="32" t="str">
        <f>VLOOKUP($S$2,Form_PrimeiraFase!$C$2:$FB$69,98,FALSE)</f>
        <v>Atlético de Madrid</v>
      </c>
      <c r="T104" s="32" t="str">
        <f>VLOOKUP($T$2,Form_PrimeiraFase!$C$2:$FB$69,98,FALSE)</f>
        <v>PSV Eindhoven</v>
      </c>
      <c r="U104" s="32" t="str">
        <f>VLOOKUP($U$2,Form_PrimeiraFase!$C$2:$FB$69,98,FALSE)</f>
        <v>Atlético de Madrid</v>
      </c>
      <c r="V104" s="32" t="str">
        <f>VLOOKUP($V$2,Form_PrimeiraFase!$C$2:$FB$69,98,FALSE)</f>
        <v>Atlético de Madrid</v>
      </c>
      <c r="W104" s="32" t="str">
        <f>VLOOKUP($W$2,Form_PrimeiraFase!$C$2:$FB$69,98,FALSE)</f>
        <v>Atlético de Madrid</v>
      </c>
      <c r="X104" s="33">
        <f t="shared" ref="X104:Y104" si="315">COUNTIF($C104:$W104,J104)</f>
        <v>3</v>
      </c>
      <c r="Y104" s="33">
        <f t="shared" si="315"/>
        <v>14</v>
      </c>
      <c r="Z104" s="33">
        <f t="shared" si="9"/>
        <v>14</v>
      </c>
      <c r="AA104" s="33">
        <f t="shared" si="10"/>
        <v>4</v>
      </c>
      <c r="AB104" s="33">
        <f t="shared" ref="AB104:AC104" si="316">COUNTIF($C104:$W104,N104)</f>
        <v>14</v>
      </c>
      <c r="AC104" s="33">
        <f t="shared" si="316"/>
        <v>3</v>
      </c>
      <c r="AD104" s="33">
        <f t="shared" si="12"/>
        <v>14</v>
      </c>
      <c r="AE104" s="33">
        <f t="shared" si="13"/>
        <v>14</v>
      </c>
      <c r="AF104" s="33">
        <f t="shared" si="14"/>
        <v>14</v>
      </c>
      <c r="AG104" s="33">
        <f t="shared" si="15"/>
        <v>14</v>
      </c>
      <c r="AH104" s="33">
        <f t="shared" si="16"/>
        <v>3</v>
      </c>
      <c r="AI104" s="33">
        <f t="shared" si="17"/>
        <v>14</v>
      </c>
      <c r="AJ104" s="33">
        <f t="shared" si="18"/>
        <v>4</v>
      </c>
      <c r="AK104" s="33">
        <f t="shared" si="19"/>
        <v>14</v>
      </c>
      <c r="AL104" s="33">
        <f t="shared" si="20"/>
        <v>4</v>
      </c>
      <c r="AM104" s="33">
        <f t="shared" si="21"/>
        <v>14</v>
      </c>
      <c r="AN104" s="33">
        <f t="shared" si="22"/>
        <v>14</v>
      </c>
      <c r="AO104" s="33">
        <f t="shared" ref="AO104:AR104" si="317">COUNTIF($C104:$W104,T104)</f>
        <v>4</v>
      </c>
      <c r="AP104" s="33">
        <f t="shared" si="317"/>
        <v>14</v>
      </c>
      <c r="AQ104" s="33">
        <f t="shared" si="317"/>
        <v>14</v>
      </c>
      <c r="AR104" s="33">
        <f t="shared" si="317"/>
        <v>14</v>
      </c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</row>
    <row r="105" ht="10.5" customHeight="1">
      <c r="A105" s="30" t="s">
        <v>73</v>
      </c>
      <c r="B105" s="31" t="s">
        <v>66</v>
      </c>
      <c r="C105" s="32" t="str">
        <f>VLOOKUP($C$2,Form_PrimeiraFase!$C$2:$FB$69,99,FALSE)</f>
        <v>Monaco</v>
      </c>
      <c r="D105" s="32" t="str">
        <f>VLOOKUP($D$2,Form_PrimeiraFase!$C$2:$FB$69,99,FALSE)</f>
        <v>Monaco</v>
      </c>
      <c r="E105" s="32" t="str">
        <f>VLOOKUP($E$2,Form_PrimeiraFase!$C$2:$FB$69,99,FALSE)</f>
        <v>Monaco</v>
      </c>
      <c r="F105" s="32" t="str">
        <f>VLOOKUP($F$2,Form_PrimeiraFase!$C$2:$FB$69,99,FALSE)</f>
        <v>Monaco</v>
      </c>
      <c r="G105" s="32" t="str">
        <f>VLOOKUP($G$2,Form_PrimeiraFase!$C$2:$FB$69,99,FALSE)</f>
        <v>Monaco</v>
      </c>
      <c r="H105" s="32" t="str">
        <f>VLOOKUP($H$2,Form_PrimeiraFase!$C$2:$FB$69,99,FALSE)</f>
        <v>Monaco</v>
      </c>
      <c r="I105" s="32" t="str">
        <f>VLOOKUP($I$2,Form_PrimeiraFase!$C$2:$FB$69,99,FALSE)</f>
        <v>Galatasaray</v>
      </c>
      <c r="J105" s="32" t="str">
        <f>VLOOKUP($J$2,Form_PrimeiraFase!$C$2:$FB$69,99,FALSE)</f>
        <v>Monaco</v>
      </c>
      <c r="K105" s="32" t="str">
        <f>VLOOKUP($K$2,Form_PrimeiraFase!$C$2:$FB$69,99,FALSE)</f>
        <v>Galatasaray</v>
      </c>
      <c r="L105" s="32" t="str">
        <f>VLOOKUP($L$2,Form_PrimeiraFase!$C$2:$FB$69,99,FALSE)</f>
        <v>Monaco</v>
      </c>
      <c r="M105" s="32" t="str">
        <f>VLOOKUP($M$2,Form_PrimeiraFase!$C$2:$FB$69,99,FALSE)</f>
        <v>Empate</v>
      </c>
      <c r="N105" s="32" t="str">
        <f>VLOOKUP($N$2,Form_PrimeiraFase!$C$2:$FB$69,99,FALSE)</f>
        <v>Monaco</v>
      </c>
      <c r="O105" s="32" t="str">
        <f>VLOOKUP($O$2,Form_PrimeiraFase!$C$2:$FB$69,99,FALSE)</f>
        <v>Galatasaray</v>
      </c>
      <c r="P105" s="32" t="str">
        <f>VLOOKUP($P$2,Form_PrimeiraFase!$C$2:$FB$69,99,FALSE)</f>
        <v>Monaco</v>
      </c>
      <c r="Q105" s="32" t="str">
        <f>VLOOKUP($Q$2,Form_PrimeiraFase!$C$2:$FB$69,99,FALSE)</f>
        <v>Monaco</v>
      </c>
      <c r="R105" s="32" t="str">
        <f>VLOOKUP($R$2,Form_PrimeiraFase!$C$2:$FB$69,99,FALSE)</f>
        <v>Monaco</v>
      </c>
      <c r="S105" s="32" t="str">
        <f>VLOOKUP($S$2,Form_PrimeiraFase!$C$2:$FB$69,99,FALSE)</f>
        <v>Empate</v>
      </c>
      <c r="T105" s="32" t="str">
        <f>VLOOKUP($T$2,Form_PrimeiraFase!$C$2:$FB$69,99,FALSE)</f>
        <v>Empate</v>
      </c>
      <c r="U105" s="32" t="str">
        <f>VLOOKUP($U$2,Form_PrimeiraFase!$C$2:$FB$69,99,FALSE)</f>
        <v>Empate</v>
      </c>
      <c r="V105" s="32" t="str">
        <f>VLOOKUP($V$2,Form_PrimeiraFase!$C$2:$FB$69,99,FALSE)</f>
        <v>Monaco</v>
      </c>
      <c r="W105" s="32" t="str">
        <f>VLOOKUP($W$2,Form_PrimeiraFase!$C$2:$FB$69,99,FALSE)</f>
        <v>Empate</v>
      </c>
      <c r="X105" s="33">
        <f t="shared" ref="X105:Y105" si="318">COUNTIF($C105:$W105,J105)</f>
        <v>13</v>
      </c>
      <c r="Y105" s="33">
        <f t="shared" si="318"/>
        <v>3</v>
      </c>
      <c r="Z105" s="33">
        <f t="shared" si="9"/>
        <v>13</v>
      </c>
      <c r="AA105" s="33">
        <f t="shared" si="10"/>
        <v>13</v>
      </c>
      <c r="AB105" s="33">
        <f t="shared" ref="AB105:AC105" si="319">COUNTIF($C105:$W105,N105)</f>
        <v>13</v>
      </c>
      <c r="AC105" s="33">
        <f t="shared" si="319"/>
        <v>3</v>
      </c>
      <c r="AD105" s="33">
        <f t="shared" si="12"/>
        <v>13</v>
      </c>
      <c r="AE105" s="33">
        <f t="shared" si="13"/>
        <v>13</v>
      </c>
      <c r="AF105" s="33">
        <f t="shared" si="14"/>
        <v>13</v>
      </c>
      <c r="AG105" s="33">
        <f t="shared" si="15"/>
        <v>5</v>
      </c>
      <c r="AH105" s="33">
        <f t="shared" si="16"/>
        <v>13</v>
      </c>
      <c r="AI105" s="33">
        <f t="shared" si="17"/>
        <v>13</v>
      </c>
      <c r="AJ105" s="33">
        <f t="shared" si="18"/>
        <v>5</v>
      </c>
      <c r="AK105" s="33">
        <f t="shared" si="19"/>
        <v>3</v>
      </c>
      <c r="AL105" s="33">
        <f t="shared" si="20"/>
        <v>13</v>
      </c>
      <c r="AM105" s="33">
        <f t="shared" si="21"/>
        <v>13</v>
      </c>
      <c r="AN105" s="33">
        <f t="shared" si="22"/>
        <v>13</v>
      </c>
      <c r="AO105" s="33">
        <f t="shared" ref="AO105:AR105" si="320">COUNTIF($C105:$W105,T105)</f>
        <v>5</v>
      </c>
      <c r="AP105" s="33">
        <f t="shared" si="320"/>
        <v>5</v>
      </c>
      <c r="AQ105" s="33">
        <f t="shared" si="320"/>
        <v>13</v>
      </c>
      <c r="AR105" s="33">
        <f t="shared" si="320"/>
        <v>5</v>
      </c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</row>
    <row r="106" ht="10.5" customHeight="1">
      <c r="A106" s="30" t="s">
        <v>73</v>
      </c>
      <c r="B106" s="31" t="s">
        <v>57</v>
      </c>
      <c r="C106" s="32" t="str">
        <f>VLOOKUP($C$2,Form_PrimeiraFase!$C$2:$FB$69,100,FALSE)</f>
        <v>Union Saint-Gilloise</v>
      </c>
      <c r="D106" s="32" t="str">
        <f>VLOOKUP($D$2,Form_PrimeiraFase!$C$2:$FB$69,100,FALSE)</f>
        <v>Olympique de Marselha</v>
      </c>
      <c r="E106" s="32" t="str">
        <f>VLOOKUP($E$2,Form_PrimeiraFase!$C$2:$FB$69,100,FALSE)</f>
        <v>Union Saint-Gilloise</v>
      </c>
      <c r="F106" s="32" t="str">
        <f>VLOOKUP($F$2,Form_PrimeiraFase!$C$2:$FB$69,100,FALSE)</f>
        <v>Empate</v>
      </c>
      <c r="G106" s="32" t="str">
        <f>VLOOKUP($G$2,Form_PrimeiraFase!$C$2:$FB$69,100,FALSE)</f>
        <v>Empate</v>
      </c>
      <c r="H106" s="32" t="str">
        <f>VLOOKUP($H$2,Form_PrimeiraFase!$C$2:$FB$69,100,FALSE)</f>
        <v>Union Saint-Gilloise</v>
      </c>
      <c r="I106" s="32" t="str">
        <f>VLOOKUP($I$2,Form_PrimeiraFase!$C$2:$FB$69,100,FALSE)</f>
        <v>Olympique de Marselha</v>
      </c>
      <c r="J106" s="32" t="str">
        <f>VLOOKUP($J$2,Form_PrimeiraFase!$C$2:$FB$69,100,FALSE)</f>
        <v>Olympique de Marselha</v>
      </c>
      <c r="K106" s="32" t="str">
        <f>VLOOKUP($K$2,Form_PrimeiraFase!$C$2:$FB$69,100,FALSE)</f>
        <v>Olympique de Marselha</v>
      </c>
      <c r="L106" s="32" t="str">
        <f>VLOOKUP($L$2,Form_PrimeiraFase!$C$2:$FB$69,100,FALSE)</f>
        <v>Olympique de Marselha</v>
      </c>
      <c r="M106" s="32" t="str">
        <f>VLOOKUP($M$2,Form_PrimeiraFase!$C$2:$FB$69,100,FALSE)</f>
        <v>Olympique de Marselha</v>
      </c>
      <c r="N106" s="32" t="str">
        <f>VLOOKUP($N$2,Form_PrimeiraFase!$C$2:$FB$69,100,FALSE)</f>
        <v>Olympique de Marselha</v>
      </c>
      <c r="O106" s="32" t="str">
        <f>VLOOKUP($O$2,Form_PrimeiraFase!$C$2:$FB$69,100,FALSE)</f>
        <v>Olympique de Marselha</v>
      </c>
      <c r="P106" s="32" t="str">
        <f>VLOOKUP($P$2,Form_PrimeiraFase!$C$2:$FB$69,100,FALSE)</f>
        <v>Empate</v>
      </c>
      <c r="Q106" s="32" t="str">
        <f>VLOOKUP($Q$2,Form_PrimeiraFase!$C$2:$FB$69,100,FALSE)</f>
        <v>Olympique de Marselha</v>
      </c>
      <c r="R106" s="32" t="str">
        <f>VLOOKUP($R$2,Form_PrimeiraFase!$C$2:$FB$69,100,FALSE)</f>
        <v>Union Saint-Gilloise</v>
      </c>
      <c r="S106" s="32" t="str">
        <f>VLOOKUP($S$2,Form_PrimeiraFase!$C$2:$FB$69,100,FALSE)</f>
        <v>Olympique de Marselha</v>
      </c>
      <c r="T106" s="32" t="str">
        <f>VLOOKUP($T$2,Form_PrimeiraFase!$C$2:$FB$69,100,FALSE)</f>
        <v>Olympique de Marselha</v>
      </c>
      <c r="U106" s="32" t="str">
        <f>VLOOKUP($U$2,Form_PrimeiraFase!$C$2:$FB$69,100,FALSE)</f>
        <v>Empate</v>
      </c>
      <c r="V106" s="32" t="str">
        <f>VLOOKUP($V$2,Form_PrimeiraFase!$C$2:$FB$69,100,FALSE)</f>
        <v>Union Saint-Gilloise</v>
      </c>
      <c r="W106" s="32" t="str">
        <f>VLOOKUP($W$2,Form_PrimeiraFase!$C$2:$FB$69,100,FALSE)</f>
        <v>Olympique de Marselha</v>
      </c>
      <c r="X106" s="33">
        <f t="shared" ref="X106:Y106" si="321">COUNTIF($C106:$W106,J106)</f>
        <v>12</v>
      </c>
      <c r="Y106" s="33">
        <f t="shared" si="321"/>
        <v>12</v>
      </c>
      <c r="Z106" s="33">
        <f t="shared" si="9"/>
        <v>5</v>
      </c>
      <c r="AA106" s="33">
        <f t="shared" si="10"/>
        <v>12</v>
      </c>
      <c r="AB106" s="33">
        <f t="shared" ref="AB106:AC106" si="322">COUNTIF($C106:$W106,N106)</f>
        <v>12</v>
      </c>
      <c r="AC106" s="33">
        <f t="shared" si="322"/>
        <v>12</v>
      </c>
      <c r="AD106" s="33">
        <f t="shared" si="12"/>
        <v>4</v>
      </c>
      <c r="AE106" s="33">
        <f t="shared" si="13"/>
        <v>4</v>
      </c>
      <c r="AF106" s="33">
        <f t="shared" si="14"/>
        <v>5</v>
      </c>
      <c r="AG106" s="33">
        <f t="shared" si="15"/>
        <v>12</v>
      </c>
      <c r="AH106" s="33">
        <f t="shared" si="16"/>
        <v>5</v>
      </c>
      <c r="AI106" s="33">
        <f t="shared" si="17"/>
        <v>4</v>
      </c>
      <c r="AJ106" s="33">
        <f t="shared" si="18"/>
        <v>12</v>
      </c>
      <c r="AK106" s="33">
        <f t="shared" si="19"/>
        <v>12</v>
      </c>
      <c r="AL106" s="33">
        <f t="shared" si="20"/>
        <v>12</v>
      </c>
      <c r="AM106" s="33">
        <f t="shared" si="21"/>
        <v>12</v>
      </c>
      <c r="AN106" s="33">
        <f t="shared" si="22"/>
        <v>5</v>
      </c>
      <c r="AO106" s="33">
        <f t="shared" ref="AO106:AR106" si="323">COUNTIF($C106:$W106,T106)</f>
        <v>12</v>
      </c>
      <c r="AP106" s="33">
        <f t="shared" si="323"/>
        <v>4</v>
      </c>
      <c r="AQ106" s="33">
        <f t="shared" si="323"/>
        <v>5</v>
      </c>
      <c r="AR106" s="33">
        <f t="shared" si="323"/>
        <v>12</v>
      </c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</row>
    <row r="107" ht="10.5" customHeight="1">
      <c r="A107" s="30" t="s">
        <v>73</v>
      </c>
      <c r="B107" s="31" t="s">
        <v>72</v>
      </c>
      <c r="C107" s="32" t="str">
        <f>VLOOKUP($C$2,Form_PrimeiraFase!$C$2:$FB$69,101,FALSE)</f>
        <v>Villarreal</v>
      </c>
      <c r="D107" s="32" t="str">
        <f>VLOOKUP($D$2,Form_PrimeiraFase!$C$2:$FB$69,101,FALSE)</f>
        <v>Villarreal</v>
      </c>
      <c r="E107" s="32" t="str">
        <f>VLOOKUP($E$2,Form_PrimeiraFase!$C$2:$FB$69,101,FALSE)</f>
        <v>Copenhagen</v>
      </c>
      <c r="F107" s="32" t="str">
        <f>VLOOKUP($F$2,Form_PrimeiraFase!$C$2:$FB$69,101,FALSE)</f>
        <v>Empate</v>
      </c>
      <c r="G107" s="32" t="str">
        <f>VLOOKUP($G$2,Form_PrimeiraFase!$C$2:$FB$69,101,FALSE)</f>
        <v>Villarreal</v>
      </c>
      <c r="H107" s="32" t="str">
        <f>VLOOKUP($H$2,Form_PrimeiraFase!$C$2:$FB$69,101,FALSE)</f>
        <v>Villarreal</v>
      </c>
      <c r="I107" s="32" t="str">
        <f>VLOOKUP($I$2,Form_PrimeiraFase!$C$2:$FB$69,101,FALSE)</f>
        <v>Villarreal</v>
      </c>
      <c r="J107" s="32" t="str">
        <f>VLOOKUP($J$2,Form_PrimeiraFase!$C$2:$FB$69,101,FALSE)</f>
        <v>Villarreal</v>
      </c>
      <c r="K107" s="32" t="str">
        <f>VLOOKUP($K$2,Form_PrimeiraFase!$C$2:$FB$69,101,FALSE)</f>
        <v>Villarreal</v>
      </c>
      <c r="L107" s="32" t="str">
        <f>VLOOKUP($L$2,Form_PrimeiraFase!$C$2:$FB$69,101,FALSE)</f>
        <v>Villarreal</v>
      </c>
      <c r="M107" s="32" t="str">
        <f>VLOOKUP($M$2,Form_PrimeiraFase!$C$2:$FB$69,101,FALSE)</f>
        <v>Villarreal</v>
      </c>
      <c r="N107" s="32" t="str">
        <f>VLOOKUP($N$2,Form_PrimeiraFase!$C$2:$FB$69,101,FALSE)</f>
        <v>Villarreal</v>
      </c>
      <c r="O107" s="32" t="str">
        <f>VLOOKUP($O$2,Form_PrimeiraFase!$C$2:$FB$69,101,FALSE)</f>
        <v>Villarreal</v>
      </c>
      <c r="P107" s="32" t="str">
        <f>VLOOKUP($P$2,Form_PrimeiraFase!$C$2:$FB$69,101,FALSE)</f>
        <v>Villarreal</v>
      </c>
      <c r="Q107" s="32" t="str">
        <f>VLOOKUP($Q$2,Form_PrimeiraFase!$C$2:$FB$69,101,FALSE)</f>
        <v>Villarreal</v>
      </c>
      <c r="R107" s="32" t="str">
        <f>VLOOKUP($R$2,Form_PrimeiraFase!$C$2:$FB$69,101,FALSE)</f>
        <v>Villarreal</v>
      </c>
      <c r="S107" s="32" t="str">
        <f>VLOOKUP($S$2,Form_PrimeiraFase!$C$2:$FB$69,101,FALSE)</f>
        <v>Empate</v>
      </c>
      <c r="T107" s="32" t="str">
        <f>VLOOKUP($T$2,Form_PrimeiraFase!$C$2:$FB$69,101,FALSE)</f>
        <v>Villarreal</v>
      </c>
      <c r="U107" s="32" t="str">
        <f>VLOOKUP($U$2,Form_PrimeiraFase!$C$2:$FB$69,101,FALSE)</f>
        <v>Villarreal</v>
      </c>
      <c r="V107" s="32" t="str">
        <f>VLOOKUP($V$2,Form_PrimeiraFase!$C$2:$FB$69,101,FALSE)</f>
        <v>Empate</v>
      </c>
      <c r="W107" s="32" t="str">
        <f>VLOOKUP($W$2,Form_PrimeiraFase!$C$2:$FB$69,101,FALSE)</f>
        <v>Villarreal</v>
      </c>
      <c r="X107" s="33">
        <f t="shared" ref="X107:Y107" si="324">COUNTIF($C107:$W107,J107)</f>
        <v>17</v>
      </c>
      <c r="Y107" s="33">
        <f t="shared" si="324"/>
        <v>17</v>
      </c>
      <c r="Z107" s="33">
        <f t="shared" si="9"/>
        <v>17</v>
      </c>
      <c r="AA107" s="33">
        <f t="shared" si="10"/>
        <v>17</v>
      </c>
      <c r="AB107" s="33">
        <f t="shared" ref="AB107:AC107" si="325">COUNTIF($C107:$W107,N107)</f>
        <v>17</v>
      </c>
      <c r="AC107" s="33">
        <f t="shared" si="325"/>
        <v>17</v>
      </c>
      <c r="AD107" s="33">
        <f t="shared" si="12"/>
        <v>17</v>
      </c>
      <c r="AE107" s="33">
        <f t="shared" si="13"/>
        <v>3</v>
      </c>
      <c r="AF107" s="33">
        <f t="shared" si="14"/>
        <v>1</v>
      </c>
      <c r="AG107" s="33">
        <f t="shared" si="15"/>
        <v>3</v>
      </c>
      <c r="AH107" s="33">
        <f t="shared" si="16"/>
        <v>17</v>
      </c>
      <c r="AI107" s="33">
        <f t="shared" si="17"/>
        <v>17</v>
      </c>
      <c r="AJ107" s="33">
        <f t="shared" si="18"/>
        <v>17</v>
      </c>
      <c r="AK107" s="33">
        <f t="shared" si="19"/>
        <v>17</v>
      </c>
      <c r="AL107" s="33">
        <f t="shared" si="20"/>
        <v>17</v>
      </c>
      <c r="AM107" s="33">
        <f t="shared" si="21"/>
        <v>17</v>
      </c>
      <c r="AN107" s="33">
        <f t="shared" si="22"/>
        <v>17</v>
      </c>
      <c r="AO107" s="33">
        <f t="shared" ref="AO107:AR107" si="326">COUNTIF($C107:$W107,T107)</f>
        <v>17</v>
      </c>
      <c r="AP107" s="33">
        <f t="shared" si="326"/>
        <v>17</v>
      </c>
      <c r="AQ107" s="33">
        <f t="shared" si="326"/>
        <v>3</v>
      </c>
      <c r="AR107" s="33">
        <f t="shared" si="326"/>
        <v>17</v>
      </c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</row>
    <row r="108" ht="10.5" customHeight="1">
      <c r="A108" s="30" t="s">
        <v>73</v>
      </c>
      <c r="B108" s="31" t="s">
        <v>75</v>
      </c>
      <c r="C108" s="32" t="str">
        <f>VLOOKUP($C$2,Form_PrimeiraFase!$C$2:$FB$69,102,FALSE)</f>
        <v>Ajax</v>
      </c>
      <c r="D108" s="32" t="str">
        <f>VLOOKUP($D$2,Form_PrimeiraFase!$C$2:$FB$69,102,FALSE)</f>
        <v>Ajax</v>
      </c>
      <c r="E108" s="32" t="str">
        <f>VLOOKUP($E$2,Form_PrimeiraFase!$C$2:$FB$69,102,FALSE)</f>
        <v>Ajax</v>
      </c>
      <c r="F108" s="32" t="str">
        <f>VLOOKUP($F$2,Form_PrimeiraFase!$C$2:$FB$69,102,FALSE)</f>
        <v>Ajax</v>
      </c>
      <c r="G108" s="32" t="str">
        <f>VLOOKUP($G$2,Form_PrimeiraFase!$C$2:$FB$69,102,FALSE)</f>
        <v>Ajax</v>
      </c>
      <c r="H108" s="32" t="str">
        <f>VLOOKUP($H$2,Form_PrimeiraFase!$C$2:$FB$69,102,FALSE)</f>
        <v>Qarabag</v>
      </c>
      <c r="I108" s="32" t="str">
        <f>VLOOKUP($I$2,Form_PrimeiraFase!$C$2:$FB$69,102,FALSE)</f>
        <v>Ajax</v>
      </c>
      <c r="J108" s="32" t="str">
        <f>VLOOKUP($J$2,Form_PrimeiraFase!$C$2:$FB$69,102,FALSE)</f>
        <v>Ajax</v>
      </c>
      <c r="K108" s="32" t="str">
        <f>VLOOKUP($K$2,Form_PrimeiraFase!$C$2:$FB$69,102,FALSE)</f>
        <v>Qarabag</v>
      </c>
      <c r="L108" s="32" t="str">
        <f>VLOOKUP($L$2,Form_PrimeiraFase!$C$2:$FB$69,102,FALSE)</f>
        <v>Ajax</v>
      </c>
      <c r="M108" s="32" t="str">
        <f>VLOOKUP($M$2,Form_PrimeiraFase!$C$2:$FB$69,102,FALSE)</f>
        <v>Ajax</v>
      </c>
      <c r="N108" s="32" t="str">
        <f>VLOOKUP($N$2,Form_PrimeiraFase!$C$2:$FB$69,102,FALSE)</f>
        <v>Ajax</v>
      </c>
      <c r="O108" s="32" t="str">
        <f>VLOOKUP($O$2,Form_PrimeiraFase!$C$2:$FB$69,102,FALSE)</f>
        <v>Ajax</v>
      </c>
      <c r="P108" s="32" t="str">
        <f>VLOOKUP($P$2,Form_PrimeiraFase!$C$2:$FB$69,102,FALSE)</f>
        <v>Ajax</v>
      </c>
      <c r="Q108" s="32" t="str">
        <f>VLOOKUP($Q$2,Form_PrimeiraFase!$C$2:$FB$69,102,FALSE)</f>
        <v>Empate</v>
      </c>
      <c r="R108" s="32" t="str">
        <f>VLOOKUP($R$2,Form_PrimeiraFase!$C$2:$FB$69,102,FALSE)</f>
        <v>Ajax</v>
      </c>
      <c r="S108" s="32" t="str">
        <f>VLOOKUP($S$2,Form_PrimeiraFase!$C$2:$FB$69,102,FALSE)</f>
        <v>Empate</v>
      </c>
      <c r="T108" s="32" t="str">
        <f>VLOOKUP($T$2,Form_PrimeiraFase!$C$2:$FB$69,102,FALSE)</f>
        <v>Ajax</v>
      </c>
      <c r="U108" s="32" t="str">
        <f>VLOOKUP($U$2,Form_PrimeiraFase!$C$2:$FB$69,102,FALSE)</f>
        <v>Empate</v>
      </c>
      <c r="V108" s="32" t="str">
        <f>VLOOKUP($V$2,Form_PrimeiraFase!$C$2:$FB$69,102,FALSE)</f>
        <v>Ajax</v>
      </c>
      <c r="W108" s="32" t="str">
        <f>VLOOKUP($W$2,Form_PrimeiraFase!$C$2:$FB$69,102,FALSE)</f>
        <v>Ajax</v>
      </c>
      <c r="X108" s="33">
        <f t="shared" ref="X108:Y108" si="327">COUNTIF($C108:$W108,J108)</f>
        <v>16</v>
      </c>
      <c r="Y108" s="33">
        <f t="shared" si="327"/>
        <v>2</v>
      </c>
      <c r="Z108" s="33">
        <f t="shared" si="9"/>
        <v>16</v>
      </c>
      <c r="AA108" s="33">
        <f t="shared" si="10"/>
        <v>16</v>
      </c>
      <c r="AB108" s="33">
        <f t="shared" ref="AB108:AC108" si="328">COUNTIF($C108:$W108,N108)</f>
        <v>16</v>
      </c>
      <c r="AC108" s="33">
        <f t="shared" si="328"/>
        <v>16</v>
      </c>
      <c r="AD108" s="33">
        <f t="shared" si="12"/>
        <v>16</v>
      </c>
      <c r="AE108" s="33">
        <f t="shared" si="13"/>
        <v>16</v>
      </c>
      <c r="AF108" s="33">
        <f t="shared" si="14"/>
        <v>16</v>
      </c>
      <c r="AG108" s="33">
        <f t="shared" si="15"/>
        <v>3</v>
      </c>
      <c r="AH108" s="33">
        <f t="shared" si="16"/>
        <v>16</v>
      </c>
      <c r="AI108" s="33">
        <f t="shared" si="17"/>
        <v>16</v>
      </c>
      <c r="AJ108" s="33">
        <f t="shared" si="18"/>
        <v>16</v>
      </c>
      <c r="AK108" s="33">
        <f t="shared" si="19"/>
        <v>16</v>
      </c>
      <c r="AL108" s="33">
        <f t="shared" si="20"/>
        <v>3</v>
      </c>
      <c r="AM108" s="33">
        <f t="shared" si="21"/>
        <v>16</v>
      </c>
      <c r="AN108" s="33">
        <f t="shared" si="22"/>
        <v>2</v>
      </c>
      <c r="AO108" s="33">
        <f t="shared" ref="AO108:AR108" si="329">COUNTIF($C108:$W108,T108)</f>
        <v>16</v>
      </c>
      <c r="AP108" s="33">
        <f t="shared" si="329"/>
        <v>3</v>
      </c>
      <c r="AQ108" s="33">
        <f t="shared" si="329"/>
        <v>16</v>
      </c>
      <c r="AR108" s="33">
        <f t="shared" si="329"/>
        <v>16</v>
      </c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</row>
    <row r="109" ht="10.5" customHeight="1">
      <c r="A109" s="30" t="s">
        <v>73</v>
      </c>
      <c r="B109" s="31" t="s">
        <v>42</v>
      </c>
      <c r="C109" s="32" t="str">
        <f>VLOOKUP($C$2,Form_PrimeiraFase!$C$2:$FB$69,103,FALSE)</f>
        <v>Borussia Dortmund</v>
      </c>
      <c r="D109" s="32" t="str">
        <f>VLOOKUP($D$2,Form_PrimeiraFase!$C$2:$FB$69,103,FALSE)</f>
        <v>Borussia Dortmund</v>
      </c>
      <c r="E109" s="32" t="str">
        <f>VLOOKUP($E$2,Form_PrimeiraFase!$C$2:$FB$69,103,FALSE)</f>
        <v>Borussia Dortmund</v>
      </c>
      <c r="F109" s="32" t="str">
        <f>VLOOKUP($F$2,Form_PrimeiraFase!$C$2:$FB$69,103,FALSE)</f>
        <v>Borussia Dortmund</v>
      </c>
      <c r="G109" s="32" t="str">
        <f>VLOOKUP($G$2,Form_PrimeiraFase!$C$2:$FB$69,103,FALSE)</f>
        <v>Borussia Dortmund</v>
      </c>
      <c r="H109" s="32" t="str">
        <f>VLOOKUP($H$2,Form_PrimeiraFase!$C$2:$FB$69,103,FALSE)</f>
        <v>Borussia Dortmund</v>
      </c>
      <c r="I109" s="32" t="str">
        <f>VLOOKUP($I$2,Form_PrimeiraFase!$C$2:$FB$69,103,FALSE)</f>
        <v>Borussia Dortmund</v>
      </c>
      <c r="J109" s="32" t="str">
        <f>VLOOKUP($J$2,Form_PrimeiraFase!$C$2:$FB$69,103,FALSE)</f>
        <v>Borussia Dortmund</v>
      </c>
      <c r="K109" s="32" t="str">
        <f>VLOOKUP($K$2,Form_PrimeiraFase!$C$2:$FB$69,103,FALSE)</f>
        <v>Borussia Dortmund</v>
      </c>
      <c r="L109" s="32" t="str">
        <f>VLOOKUP($L$2,Form_PrimeiraFase!$C$2:$FB$69,103,FALSE)</f>
        <v>Borussia Dortmund</v>
      </c>
      <c r="M109" s="32" t="str">
        <f>VLOOKUP($M$2,Form_PrimeiraFase!$C$2:$FB$69,103,FALSE)</f>
        <v>Borussia Dortmund</v>
      </c>
      <c r="N109" s="32" t="str">
        <f>VLOOKUP($N$2,Form_PrimeiraFase!$C$2:$FB$69,103,FALSE)</f>
        <v>Borussia Dortmund</v>
      </c>
      <c r="O109" s="32" t="str">
        <f>VLOOKUP($O$2,Form_PrimeiraFase!$C$2:$FB$69,103,FALSE)</f>
        <v>Borussia Dortmund</v>
      </c>
      <c r="P109" s="32" t="str">
        <f>VLOOKUP($P$2,Form_PrimeiraFase!$C$2:$FB$69,103,FALSE)</f>
        <v>Borussia Dortmund</v>
      </c>
      <c r="Q109" s="32" t="str">
        <f>VLOOKUP($Q$2,Form_PrimeiraFase!$C$2:$FB$69,103,FALSE)</f>
        <v>Borussia Dortmund</v>
      </c>
      <c r="R109" s="32" t="str">
        <f>VLOOKUP($R$2,Form_PrimeiraFase!$C$2:$FB$69,103,FALSE)</f>
        <v>Borussia Dortmund</v>
      </c>
      <c r="S109" s="32" t="str">
        <f>VLOOKUP($S$2,Form_PrimeiraFase!$C$2:$FB$69,103,FALSE)</f>
        <v>Borussia Dortmund</v>
      </c>
      <c r="T109" s="32" t="str">
        <f>VLOOKUP($T$2,Form_PrimeiraFase!$C$2:$FB$69,103,FALSE)</f>
        <v>Borussia Dortmund</v>
      </c>
      <c r="U109" s="32" t="str">
        <f>VLOOKUP($U$2,Form_PrimeiraFase!$C$2:$FB$69,103,FALSE)</f>
        <v>Borussia Dortmund</v>
      </c>
      <c r="V109" s="32" t="str">
        <f>VLOOKUP($V$2,Form_PrimeiraFase!$C$2:$FB$69,103,FALSE)</f>
        <v>Borussia Dortmund</v>
      </c>
      <c r="W109" s="32" t="str">
        <f>VLOOKUP($W$2,Form_PrimeiraFase!$C$2:$FB$69,103,FALSE)</f>
        <v>Borussia Dortmund</v>
      </c>
      <c r="X109" s="33">
        <f t="shared" ref="X109:Y109" si="330">COUNTIF($C109:$W109,J109)</f>
        <v>21</v>
      </c>
      <c r="Y109" s="33">
        <f t="shared" si="330"/>
        <v>21</v>
      </c>
      <c r="Z109" s="33">
        <f t="shared" si="9"/>
        <v>21</v>
      </c>
      <c r="AA109" s="33">
        <f t="shared" si="10"/>
        <v>21</v>
      </c>
      <c r="AB109" s="33">
        <f t="shared" ref="AB109:AC109" si="331">COUNTIF($C109:$W109,N109)</f>
        <v>21</v>
      </c>
      <c r="AC109" s="33">
        <f t="shared" si="331"/>
        <v>21</v>
      </c>
      <c r="AD109" s="33">
        <f t="shared" si="12"/>
        <v>21</v>
      </c>
      <c r="AE109" s="33">
        <f t="shared" si="13"/>
        <v>21</v>
      </c>
      <c r="AF109" s="33">
        <f t="shared" si="14"/>
        <v>21</v>
      </c>
      <c r="AG109" s="33">
        <f t="shared" si="15"/>
        <v>21</v>
      </c>
      <c r="AH109" s="33">
        <f t="shared" si="16"/>
        <v>21</v>
      </c>
      <c r="AI109" s="33">
        <f t="shared" si="17"/>
        <v>21</v>
      </c>
      <c r="AJ109" s="33">
        <f t="shared" si="18"/>
        <v>21</v>
      </c>
      <c r="AK109" s="33">
        <f t="shared" si="19"/>
        <v>21</v>
      </c>
      <c r="AL109" s="33">
        <f t="shared" si="20"/>
        <v>21</v>
      </c>
      <c r="AM109" s="33">
        <f t="shared" si="21"/>
        <v>21</v>
      </c>
      <c r="AN109" s="33">
        <f t="shared" si="22"/>
        <v>21</v>
      </c>
      <c r="AO109" s="33">
        <f t="shared" ref="AO109:AR109" si="332">COUNTIF($C109:$W109,T109)</f>
        <v>21</v>
      </c>
      <c r="AP109" s="33">
        <f t="shared" si="332"/>
        <v>21</v>
      </c>
      <c r="AQ109" s="33">
        <f t="shared" si="332"/>
        <v>21</v>
      </c>
      <c r="AR109" s="33">
        <f t="shared" si="332"/>
        <v>21</v>
      </c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ht="10.5" customHeight="1">
      <c r="A110" s="30" t="s">
        <v>73</v>
      </c>
      <c r="B110" s="31" t="s">
        <v>42</v>
      </c>
      <c r="C110" s="32" t="str">
        <f>VLOOKUP($C$2,Form_PrimeiraFase!$C$2:$FB$69,104,FALSE)</f>
        <v>Bayer Leverkusen</v>
      </c>
      <c r="D110" s="32" t="str">
        <f>VLOOKUP($D$2,Form_PrimeiraFase!$C$2:$FB$69,104,FALSE)</f>
        <v>Bayer Leverkusen</v>
      </c>
      <c r="E110" s="32" t="str">
        <f>VLOOKUP($E$2,Form_PrimeiraFase!$C$2:$FB$69,104,FALSE)</f>
        <v>Newcastle</v>
      </c>
      <c r="F110" s="32" t="str">
        <f>VLOOKUP($F$2,Form_PrimeiraFase!$C$2:$FB$69,104,FALSE)</f>
        <v>Bayer Leverkusen</v>
      </c>
      <c r="G110" s="32" t="str">
        <f>VLOOKUP($G$2,Form_PrimeiraFase!$C$2:$FB$69,104,FALSE)</f>
        <v>Empate</v>
      </c>
      <c r="H110" s="32" t="str">
        <f>VLOOKUP($H$2,Form_PrimeiraFase!$C$2:$FB$69,104,FALSE)</f>
        <v>Bayer Leverkusen</v>
      </c>
      <c r="I110" s="32" t="str">
        <f>VLOOKUP($I$2,Form_PrimeiraFase!$C$2:$FB$69,104,FALSE)</f>
        <v>Newcastle</v>
      </c>
      <c r="J110" s="32" t="str">
        <f>VLOOKUP($J$2,Form_PrimeiraFase!$C$2:$FB$69,104,FALSE)</f>
        <v>Bayer Leverkusen</v>
      </c>
      <c r="K110" s="32" t="str">
        <f>VLOOKUP($K$2,Form_PrimeiraFase!$C$2:$FB$69,104,FALSE)</f>
        <v>Newcastle</v>
      </c>
      <c r="L110" s="32" t="str">
        <f>VLOOKUP($L$2,Form_PrimeiraFase!$C$2:$FB$69,104,FALSE)</f>
        <v>Bayer Leverkusen</v>
      </c>
      <c r="M110" s="32" t="str">
        <f>VLOOKUP($M$2,Form_PrimeiraFase!$C$2:$FB$69,104,FALSE)</f>
        <v>Empate</v>
      </c>
      <c r="N110" s="32" t="str">
        <f>VLOOKUP($N$2,Form_PrimeiraFase!$C$2:$FB$69,104,FALSE)</f>
        <v>Empate</v>
      </c>
      <c r="O110" s="32" t="str">
        <f>VLOOKUP($O$2,Form_PrimeiraFase!$C$2:$FB$69,104,FALSE)</f>
        <v>Bayer Leverkusen</v>
      </c>
      <c r="P110" s="32" t="str">
        <f>VLOOKUP($P$2,Form_PrimeiraFase!$C$2:$FB$69,104,FALSE)</f>
        <v>Bayer Leverkusen</v>
      </c>
      <c r="Q110" s="32" t="str">
        <f>VLOOKUP($Q$2,Form_PrimeiraFase!$C$2:$FB$69,104,FALSE)</f>
        <v>Bayer Leverkusen</v>
      </c>
      <c r="R110" s="32" t="str">
        <f>VLOOKUP($R$2,Form_PrimeiraFase!$C$2:$FB$69,104,FALSE)</f>
        <v>Bayer Leverkusen</v>
      </c>
      <c r="S110" s="32" t="str">
        <f>VLOOKUP($S$2,Form_PrimeiraFase!$C$2:$FB$69,104,FALSE)</f>
        <v>Bayer Leverkusen</v>
      </c>
      <c r="T110" s="32" t="str">
        <f>VLOOKUP($T$2,Form_PrimeiraFase!$C$2:$FB$69,104,FALSE)</f>
        <v>Bayer Leverkusen</v>
      </c>
      <c r="U110" s="32" t="str">
        <f>VLOOKUP($U$2,Form_PrimeiraFase!$C$2:$FB$69,104,FALSE)</f>
        <v>Bayer Leverkusen</v>
      </c>
      <c r="V110" s="32" t="str">
        <f>VLOOKUP($V$2,Form_PrimeiraFase!$C$2:$FB$69,104,FALSE)</f>
        <v>Newcastle</v>
      </c>
      <c r="W110" s="32" t="str">
        <f>VLOOKUP($W$2,Form_PrimeiraFase!$C$2:$FB$69,104,FALSE)</f>
        <v>Empate</v>
      </c>
      <c r="X110" s="33">
        <f t="shared" ref="X110:Y110" si="333">COUNTIF($C110:$W110,J110)</f>
        <v>13</v>
      </c>
      <c r="Y110" s="33">
        <f t="shared" si="333"/>
        <v>4</v>
      </c>
      <c r="Z110" s="33">
        <f t="shared" si="9"/>
        <v>13</v>
      </c>
      <c r="AA110" s="33">
        <f t="shared" si="10"/>
        <v>13</v>
      </c>
      <c r="AB110" s="33">
        <f t="shared" ref="AB110:AC110" si="334">COUNTIF($C110:$W110,N110)</f>
        <v>4</v>
      </c>
      <c r="AC110" s="33">
        <f t="shared" si="334"/>
        <v>13</v>
      </c>
      <c r="AD110" s="33">
        <f t="shared" si="12"/>
        <v>4</v>
      </c>
      <c r="AE110" s="33">
        <f t="shared" si="13"/>
        <v>13</v>
      </c>
      <c r="AF110" s="33">
        <f t="shared" si="14"/>
        <v>4</v>
      </c>
      <c r="AG110" s="33">
        <f t="shared" si="15"/>
        <v>13</v>
      </c>
      <c r="AH110" s="33">
        <f t="shared" si="16"/>
        <v>13</v>
      </c>
      <c r="AI110" s="33">
        <f t="shared" si="17"/>
        <v>13</v>
      </c>
      <c r="AJ110" s="33">
        <f t="shared" si="18"/>
        <v>4</v>
      </c>
      <c r="AK110" s="33">
        <f t="shared" si="19"/>
        <v>4</v>
      </c>
      <c r="AL110" s="33">
        <f t="shared" si="20"/>
        <v>13</v>
      </c>
      <c r="AM110" s="33">
        <f t="shared" si="21"/>
        <v>13</v>
      </c>
      <c r="AN110" s="33">
        <f t="shared" si="22"/>
        <v>13</v>
      </c>
      <c r="AO110" s="33">
        <f t="shared" ref="AO110:AR110" si="335">COUNTIF($C110:$W110,T110)</f>
        <v>13</v>
      </c>
      <c r="AP110" s="33">
        <f t="shared" si="335"/>
        <v>13</v>
      </c>
      <c r="AQ110" s="33">
        <f t="shared" si="335"/>
        <v>4</v>
      </c>
      <c r="AR110" s="33">
        <f t="shared" si="335"/>
        <v>4</v>
      </c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</row>
    <row r="111" ht="10.5" customHeight="1">
      <c r="A111" s="30" t="s">
        <v>73</v>
      </c>
      <c r="B111" s="31" t="s">
        <v>70</v>
      </c>
      <c r="C111" s="32" t="str">
        <f>VLOOKUP($C$2,Form_PrimeiraFase!$C$2:$FB$69,105,FALSE)</f>
        <v>Napoli</v>
      </c>
      <c r="D111" s="32" t="str">
        <f>VLOOKUP($D$2,Form_PrimeiraFase!$C$2:$FB$69,105,FALSE)</f>
        <v>Benfica</v>
      </c>
      <c r="E111" s="32" t="str">
        <f>VLOOKUP($E$2,Form_PrimeiraFase!$C$2:$FB$69,105,FALSE)</f>
        <v>Benfica</v>
      </c>
      <c r="F111" s="32" t="str">
        <f>VLOOKUP($F$2,Form_PrimeiraFase!$C$2:$FB$69,105,FALSE)</f>
        <v>Benfica</v>
      </c>
      <c r="G111" s="32" t="str">
        <f>VLOOKUP($G$2,Form_PrimeiraFase!$C$2:$FB$69,105,FALSE)</f>
        <v>Napoli</v>
      </c>
      <c r="H111" s="32" t="str">
        <f>VLOOKUP($H$2,Form_PrimeiraFase!$C$2:$FB$69,105,FALSE)</f>
        <v>Benfica</v>
      </c>
      <c r="I111" s="32" t="str">
        <f>VLOOKUP($I$2,Form_PrimeiraFase!$C$2:$FB$69,105,FALSE)</f>
        <v>Napoli</v>
      </c>
      <c r="J111" s="32" t="str">
        <f>VLOOKUP($J$2,Form_PrimeiraFase!$C$2:$FB$69,105,FALSE)</f>
        <v>Benfica</v>
      </c>
      <c r="K111" s="32" t="str">
        <f>VLOOKUP($K$2,Form_PrimeiraFase!$C$2:$FB$69,105,FALSE)</f>
        <v>Benfica</v>
      </c>
      <c r="L111" s="32" t="str">
        <f>VLOOKUP($L$2,Form_PrimeiraFase!$C$2:$FB$69,105,FALSE)</f>
        <v>Empate</v>
      </c>
      <c r="M111" s="32" t="str">
        <f>VLOOKUP($M$2,Form_PrimeiraFase!$C$2:$FB$69,105,FALSE)</f>
        <v>Benfica</v>
      </c>
      <c r="N111" s="32" t="str">
        <f>VLOOKUP($N$2,Form_PrimeiraFase!$C$2:$FB$69,105,FALSE)</f>
        <v>Benfica</v>
      </c>
      <c r="O111" s="32" t="str">
        <f>VLOOKUP($O$2,Form_PrimeiraFase!$C$2:$FB$69,105,FALSE)</f>
        <v>Empate</v>
      </c>
      <c r="P111" s="32" t="str">
        <f>VLOOKUP($P$2,Form_PrimeiraFase!$C$2:$FB$69,105,FALSE)</f>
        <v>Empate</v>
      </c>
      <c r="Q111" s="32" t="str">
        <f>VLOOKUP($Q$2,Form_PrimeiraFase!$C$2:$FB$69,105,FALSE)</f>
        <v>Benfica</v>
      </c>
      <c r="R111" s="32" t="str">
        <f>VLOOKUP($R$2,Form_PrimeiraFase!$C$2:$FB$69,105,FALSE)</f>
        <v>Napoli</v>
      </c>
      <c r="S111" s="32" t="str">
        <f>VLOOKUP($S$2,Form_PrimeiraFase!$C$2:$FB$69,105,FALSE)</f>
        <v>Napoli</v>
      </c>
      <c r="T111" s="32" t="str">
        <f>VLOOKUP($T$2,Form_PrimeiraFase!$C$2:$FB$69,105,FALSE)</f>
        <v>Benfica</v>
      </c>
      <c r="U111" s="32" t="str">
        <f>VLOOKUP($U$2,Form_PrimeiraFase!$C$2:$FB$69,105,FALSE)</f>
        <v>Benfica</v>
      </c>
      <c r="V111" s="32" t="str">
        <f>VLOOKUP($V$2,Form_PrimeiraFase!$C$2:$FB$69,105,FALSE)</f>
        <v>Benfica</v>
      </c>
      <c r="W111" s="32" t="str">
        <f>VLOOKUP($W$2,Form_PrimeiraFase!$C$2:$FB$69,105,FALSE)</f>
        <v>Napoli</v>
      </c>
      <c r="X111" s="33">
        <f t="shared" ref="X111:Y111" si="336">COUNTIF($C111:$W111,J111)</f>
        <v>12</v>
      </c>
      <c r="Y111" s="33">
        <f t="shared" si="336"/>
        <v>12</v>
      </c>
      <c r="Z111" s="33">
        <f t="shared" si="9"/>
        <v>6</v>
      </c>
      <c r="AA111" s="33">
        <f t="shared" si="10"/>
        <v>12</v>
      </c>
      <c r="AB111" s="33">
        <f t="shared" ref="AB111:AC111" si="337">COUNTIF($C111:$W111,N111)</f>
        <v>12</v>
      </c>
      <c r="AC111" s="33">
        <f t="shared" si="337"/>
        <v>3</v>
      </c>
      <c r="AD111" s="33">
        <f t="shared" si="12"/>
        <v>6</v>
      </c>
      <c r="AE111" s="33">
        <f t="shared" si="13"/>
        <v>12</v>
      </c>
      <c r="AF111" s="33">
        <f t="shared" si="14"/>
        <v>12</v>
      </c>
      <c r="AG111" s="33">
        <f t="shared" si="15"/>
        <v>6</v>
      </c>
      <c r="AH111" s="33">
        <f t="shared" si="16"/>
        <v>6</v>
      </c>
      <c r="AI111" s="33">
        <f t="shared" si="17"/>
        <v>3</v>
      </c>
      <c r="AJ111" s="33">
        <f t="shared" si="18"/>
        <v>12</v>
      </c>
      <c r="AK111" s="33">
        <f t="shared" si="19"/>
        <v>6</v>
      </c>
      <c r="AL111" s="33">
        <f t="shared" si="20"/>
        <v>12</v>
      </c>
      <c r="AM111" s="33">
        <f t="shared" si="21"/>
        <v>3</v>
      </c>
      <c r="AN111" s="33">
        <f t="shared" si="22"/>
        <v>12</v>
      </c>
      <c r="AO111" s="33">
        <f t="shared" ref="AO111:AR111" si="338">COUNTIF($C111:$W111,T111)</f>
        <v>12</v>
      </c>
      <c r="AP111" s="33">
        <f t="shared" si="338"/>
        <v>12</v>
      </c>
      <c r="AQ111" s="33">
        <f t="shared" si="338"/>
        <v>12</v>
      </c>
      <c r="AR111" s="33">
        <f t="shared" si="338"/>
        <v>6</v>
      </c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</row>
    <row r="112" ht="10.5" customHeight="1">
      <c r="A112" s="30" t="s">
        <v>73</v>
      </c>
      <c r="B112" s="31" t="s">
        <v>71</v>
      </c>
      <c r="C112" s="32" t="str">
        <f>VLOOKUP($C$2,Form_PrimeiraFase!$C$2:$FB$69,106,FALSE)</f>
        <v>Juventus</v>
      </c>
      <c r="D112" s="32" t="str">
        <f>VLOOKUP($D$2,Form_PrimeiraFase!$C$2:$FB$69,106,FALSE)</f>
        <v>Juventus</v>
      </c>
      <c r="E112" s="32" t="str">
        <f>VLOOKUP($E$2,Form_PrimeiraFase!$C$2:$FB$69,106,FALSE)</f>
        <v>Juventus</v>
      </c>
      <c r="F112" s="32" t="str">
        <f>VLOOKUP($F$2,Form_PrimeiraFase!$C$2:$FB$69,106,FALSE)</f>
        <v>Juventus</v>
      </c>
      <c r="G112" s="32" t="str">
        <f>VLOOKUP($G$2,Form_PrimeiraFase!$C$2:$FB$69,106,FALSE)</f>
        <v>Juventus</v>
      </c>
      <c r="H112" s="32" t="str">
        <f>VLOOKUP($H$2,Form_PrimeiraFase!$C$2:$FB$69,106,FALSE)</f>
        <v>Juventus</v>
      </c>
      <c r="I112" s="32" t="str">
        <f>VLOOKUP($I$2,Form_PrimeiraFase!$C$2:$FB$69,106,FALSE)</f>
        <v>Juventus</v>
      </c>
      <c r="J112" s="32" t="str">
        <f>VLOOKUP($J$2,Form_PrimeiraFase!$C$2:$FB$69,106,FALSE)</f>
        <v>Juventus</v>
      </c>
      <c r="K112" s="32" t="str">
        <f>VLOOKUP($K$2,Form_PrimeiraFase!$C$2:$FB$69,106,FALSE)</f>
        <v>Juventus</v>
      </c>
      <c r="L112" s="32" t="str">
        <f>VLOOKUP($L$2,Form_PrimeiraFase!$C$2:$FB$69,106,FALSE)</f>
        <v>Juventus</v>
      </c>
      <c r="M112" s="32" t="str">
        <f>VLOOKUP($M$2,Form_PrimeiraFase!$C$2:$FB$69,106,FALSE)</f>
        <v>Juventus</v>
      </c>
      <c r="N112" s="32" t="str">
        <f>VLOOKUP($N$2,Form_PrimeiraFase!$C$2:$FB$69,106,FALSE)</f>
        <v>Juventus</v>
      </c>
      <c r="O112" s="32" t="str">
        <f>VLOOKUP($O$2,Form_PrimeiraFase!$C$2:$FB$69,106,FALSE)</f>
        <v>Empate</v>
      </c>
      <c r="P112" s="32" t="str">
        <f>VLOOKUP($P$2,Form_PrimeiraFase!$C$2:$FB$69,106,FALSE)</f>
        <v>Juventus</v>
      </c>
      <c r="Q112" s="32" t="str">
        <f>VLOOKUP($Q$2,Form_PrimeiraFase!$C$2:$FB$69,106,FALSE)</f>
        <v>Juventus</v>
      </c>
      <c r="R112" s="32" t="str">
        <f>VLOOKUP($R$2,Form_PrimeiraFase!$C$2:$FB$69,106,FALSE)</f>
        <v>Juventus</v>
      </c>
      <c r="S112" s="32" t="str">
        <f>VLOOKUP($S$2,Form_PrimeiraFase!$C$2:$FB$69,106,FALSE)</f>
        <v>Juventus</v>
      </c>
      <c r="T112" s="32" t="str">
        <f>VLOOKUP($T$2,Form_PrimeiraFase!$C$2:$FB$69,106,FALSE)</f>
        <v>Empate</v>
      </c>
      <c r="U112" s="32" t="str">
        <f>VLOOKUP($U$2,Form_PrimeiraFase!$C$2:$FB$69,106,FALSE)</f>
        <v>Juventus</v>
      </c>
      <c r="V112" s="32" t="str">
        <f>VLOOKUP($V$2,Form_PrimeiraFase!$C$2:$FB$69,106,FALSE)</f>
        <v>Juventus</v>
      </c>
      <c r="W112" s="32" t="str">
        <f>VLOOKUP($W$2,Form_PrimeiraFase!$C$2:$FB$69,106,FALSE)</f>
        <v>Juventus</v>
      </c>
      <c r="X112" s="33">
        <f t="shared" ref="X112:Y112" si="339">COUNTIF($C112:$W112,J112)</f>
        <v>19</v>
      </c>
      <c r="Y112" s="33">
        <f t="shared" si="339"/>
        <v>19</v>
      </c>
      <c r="Z112" s="33">
        <f t="shared" si="9"/>
        <v>19</v>
      </c>
      <c r="AA112" s="33">
        <f t="shared" si="10"/>
        <v>19</v>
      </c>
      <c r="AB112" s="33">
        <f t="shared" ref="AB112:AC112" si="340">COUNTIF($C112:$W112,N112)</f>
        <v>19</v>
      </c>
      <c r="AC112" s="33">
        <f t="shared" si="340"/>
        <v>2</v>
      </c>
      <c r="AD112" s="33">
        <f t="shared" si="12"/>
        <v>19</v>
      </c>
      <c r="AE112" s="33">
        <f t="shared" si="13"/>
        <v>19</v>
      </c>
      <c r="AF112" s="33">
        <f t="shared" si="14"/>
        <v>19</v>
      </c>
      <c r="AG112" s="33">
        <f t="shared" si="15"/>
        <v>19</v>
      </c>
      <c r="AH112" s="33">
        <f t="shared" si="16"/>
        <v>19</v>
      </c>
      <c r="AI112" s="33">
        <f t="shared" si="17"/>
        <v>19</v>
      </c>
      <c r="AJ112" s="33">
        <f t="shared" si="18"/>
        <v>19</v>
      </c>
      <c r="AK112" s="33">
        <f t="shared" si="19"/>
        <v>19</v>
      </c>
      <c r="AL112" s="33">
        <f t="shared" si="20"/>
        <v>19</v>
      </c>
      <c r="AM112" s="33">
        <f t="shared" si="21"/>
        <v>19</v>
      </c>
      <c r="AN112" s="33">
        <f t="shared" si="22"/>
        <v>19</v>
      </c>
      <c r="AO112" s="33">
        <f t="shared" ref="AO112:AR112" si="341">COUNTIF($C112:$W112,T112)</f>
        <v>2</v>
      </c>
      <c r="AP112" s="33">
        <f t="shared" si="341"/>
        <v>19</v>
      </c>
      <c r="AQ112" s="33">
        <f t="shared" si="341"/>
        <v>19</v>
      </c>
      <c r="AR112" s="33">
        <f t="shared" si="341"/>
        <v>19</v>
      </c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</row>
    <row r="113" ht="10.5" customHeight="1">
      <c r="A113" s="30" t="s">
        <v>73</v>
      </c>
      <c r="B113" s="31" t="s">
        <v>39</v>
      </c>
      <c r="C113" s="32" t="str">
        <f>VLOOKUP($C$2,Form_PrimeiraFase!$C$2:$FB$69,107,FALSE)</f>
        <v>Arsenal</v>
      </c>
      <c r="D113" s="32" t="str">
        <f>VLOOKUP($D$2,Form_PrimeiraFase!$C$2:$FB$69,107,FALSE)</f>
        <v>Arsenal</v>
      </c>
      <c r="E113" s="32" t="str">
        <f>VLOOKUP($E$2,Form_PrimeiraFase!$C$2:$FB$69,107,FALSE)</f>
        <v>Arsenal</v>
      </c>
      <c r="F113" s="32" t="str">
        <f>VLOOKUP($F$2,Form_PrimeiraFase!$C$2:$FB$69,107,FALSE)</f>
        <v>Arsenal</v>
      </c>
      <c r="G113" s="32" t="str">
        <f>VLOOKUP($G$2,Form_PrimeiraFase!$C$2:$FB$69,107,FALSE)</f>
        <v>Arsenal</v>
      </c>
      <c r="H113" s="32" t="str">
        <f>VLOOKUP($H$2,Form_PrimeiraFase!$C$2:$FB$69,107,FALSE)</f>
        <v>Arsenal</v>
      </c>
      <c r="I113" s="32" t="str">
        <f>VLOOKUP($I$2,Form_PrimeiraFase!$C$2:$FB$69,107,FALSE)</f>
        <v>Arsenal</v>
      </c>
      <c r="J113" s="32" t="str">
        <f>VLOOKUP($J$2,Form_PrimeiraFase!$C$2:$FB$69,107,FALSE)</f>
        <v>Arsenal</v>
      </c>
      <c r="K113" s="32" t="str">
        <f>VLOOKUP($K$2,Form_PrimeiraFase!$C$2:$FB$69,107,FALSE)</f>
        <v>Arsenal</v>
      </c>
      <c r="L113" s="32" t="str">
        <f>VLOOKUP($L$2,Form_PrimeiraFase!$C$2:$FB$69,107,FALSE)</f>
        <v>Empate</v>
      </c>
      <c r="M113" s="32" t="str">
        <f>VLOOKUP($M$2,Form_PrimeiraFase!$C$2:$FB$69,107,FALSE)</f>
        <v>Arsenal</v>
      </c>
      <c r="N113" s="32" t="str">
        <f>VLOOKUP($N$2,Form_PrimeiraFase!$C$2:$FB$69,107,FALSE)</f>
        <v>Arsenal</v>
      </c>
      <c r="O113" s="32" t="str">
        <f>VLOOKUP($O$2,Form_PrimeiraFase!$C$2:$FB$69,107,FALSE)</f>
        <v>Arsenal</v>
      </c>
      <c r="P113" s="32" t="str">
        <f>VLOOKUP($P$2,Form_PrimeiraFase!$C$2:$FB$69,107,FALSE)</f>
        <v>Arsenal</v>
      </c>
      <c r="Q113" s="32" t="str">
        <f>VLOOKUP($Q$2,Form_PrimeiraFase!$C$2:$FB$69,107,FALSE)</f>
        <v>Empate</v>
      </c>
      <c r="R113" s="32" t="str">
        <f>VLOOKUP($R$2,Form_PrimeiraFase!$C$2:$FB$69,107,FALSE)</f>
        <v>Empate</v>
      </c>
      <c r="S113" s="32" t="str">
        <f>VLOOKUP($S$2,Form_PrimeiraFase!$C$2:$FB$69,107,FALSE)</f>
        <v>Arsenal</v>
      </c>
      <c r="T113" s="32" t="str">
        <f>VLOOKUP($T$2,Form_PrimeiraFase!$C$2:$FB$69,107,FALSE)</f>
        <v>Club Brugge</v>
      </c>
      <c r="U113" s="32" t="str">
        <f>VLOOKUP($U$2,Form_PrimeiraFase!$C$2:$FB$69,107,FALSE)</f>
        <v>Arsenal</v>
      </c>
      <c r="V113" s="32" t="str">
        <f>VLOOKUP($V$2,Form_PrimeiraFase!$C$2:$FB$69,107,FALSE)</f>
        <v>Club Brugge</v>
      </c>
      <c r="W113" s="32" t="str">
        <f>VLOOKUP($W$2,Form_PrimeiraFase!$C$2:$FB$69,107,FALSE)</f>
        <v>Arsenal</v>
      </c>
      <c r="X113" s="33">
        <f t="shared" ref="X113:Y113" si="342">COUNTIF($C113:$W113,J113)</f>
        <v>16</v>
      </c>
      <c r="Y113" s="33">
        <f t="shared" si="342"/>
        <v>16</v>
      </c>
      <c r="Z113" s="33">
        <f t="shared" si="9"/>
        <v>3</v>
      </c>
      <c r="AA113" s="33">
        <f t="shared" si="10"/>
        <v>16</v>
      </c>
      <c r="AB113" s="33">
        <f t="shared" ref="AB113:AC113" si="343">COUNTIF($C113:$W113,N113)</f>
        <v>16</v>
      </c>
      <c r="AC113" s="33">
        <f t="shared" si="343"/>
        <v>16</v>
      </c>
      <c r="AD113" s="33">
        <f t="shared" si="12"/>
        <v>16</v>
      </c>
      <c r="AE113" s="33">
        <f t="shared" si="13"/>
        <v>16</v>
      </c>
      <c r="AF113" s="33">
        <f t="shared" si="14"/>
        <v>16</v>
      </c>
      <c r="AG113" s="33">
        <f t="shared" si="15"/>
        <v>16</v>
      </c>
      <c r="AH113" s="33">
        <f t="shared" si="16"/>
        <v>16</v>
      </c>
      <c r="AI113" s="33">
        <f t="shared" si="17"/>
        <v>16</v>
      </c>
      <c r="AJ113" s="33">
        <f t="shared" si="18"/>
        <v>16</v>
      </c>
      <c r="AK113" s="33">
        <f t="shared" si="19"/>
        <v>16</v>
      </c>
      <c r="AL113" s="33">
        <f t="shared" si="20"/>
        <v>3</v>
      </c>
      <c r="AM113" s="33">
        <f t="shared" si="21"/>
        <v>3</v>
      </c>
      <c r="AN113" s="33">
        <f t="shared" si="22"/>
        <v>16</v>
      </c>
      <c r="AO113" s="33">
        <f t="shared" ref="AO113:AR113" si="344">COUNTIF($C113:$W113,T113)</f>
        <v>2</v>
      </c>
      <c r="AP113" s="33">
        <f t="shared" si="344"/>
        <v>16</v>
      </c>
      <c r="AQ113" s="33">
        <f t="shared" si="344"/>
        <v>2</v>
      </c>
      <c r="AR113" s="33">
        <f t="shared" si="344"/>
        <v>16</v>
      </c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</row>
    <row r="114" ht="10.5" customHeight="1">
      <c r="A114" s="30" t="s">
        <v>73</v>
      </c>
      <c r="B114" s="31" t="s">
        <v>42</v>
      </c>
      <c r="C114" s="32" t="str">
        <f>VLOOKUP($C$2,Form_PrimeiraFase!$C$2:$FB$69,108,FALSE)</f>
        <v>Paris Saint-Germain</v>
      </c>
      <c r="D114" s="32" t="str">
        <f>VLOOKUP($D$2,Form_PrimeiraFase!$C$2:$FB$69,108,FALSE)</f>
        <v>Paris Saint-Germain</v>
      </c>
      <c r="E114" s="32" t="str">
        <f>VLOOKUP($E$2,Form_PrimeiraFase!$C$2:$FB$69,108,FALSE)</f>
        <v>Paris Saint-Germain</v>
      </c>
      <c r="F114" s="32" t="str">
        <f>VLOOKUP($F$2,Form_PrimeiraFase!$C$2:$FB$69,108,FALSE)</f>
        <v>Paris Saint-Germain</v>
      </c>
      <c r="G114" s="32" t="str">
        <f>VLOOKUP($G$2,Form_PrimeiraFase!$C$2:$FB$69,108,FALSE)</f>
        <v>Empate</v>
      </c>
      <c r="H114" s="32" t="str">
        <f>VLOOKUP($H$2,Form_PrimeiraFase!$C$2:$FB$69,108,FALSE)</f>
        <v>Paris Saint-Germain</v>
      </c>
      <c r="I114" s="32" t="str">
        <f>VLOOKUP($I$2,Form_PrimeiraFase!$C$2:$FB$69,108,FALSE)</f>
        <v>Paris Saint-Germain</v>
      </c>
      <c r="J114" s="32" t="str">
        <f>VLOOKUP($J$2,Form_PrimeiraFase!$C$2:$FB$69,108,FALSE)</f>
        <v>Paris Saint-Germain</v>
      </c>
      <c r="K114" s="32" t="str">
        <f>VLOOKUP($K$2,Form_PrimeiraFase!$C$2:$FB$69,108,FALSE)</f>
        <v>Athletic Bilbao</v>
      </c>
      <c r="L114" s="32" t="str">
        <f>VLOOKUP($L$2,Form_PrimeiraFase!$C$2:$FB$69,108,FALSE)</f>
        <v>Paris Saint-Germain</v>
      </c>
      <c r="M114" s="32" t="str">
        <f>VLOOKUP($M$2,Form_PrimeiraFase!$C$2:$FB$69,108,FALSE)</f>
        <v>Paris Saint-Germain</v>
      </c>
      <c r="N114" s="32" t="str">
        <f>VLOOKUP($N$2,Form_PrimeiraFase!$C$2:$FB$69,108,FALSE)</f>
        <v>Paris Saint-Germain</v>
      </c>
      <c r="O114" s="32" t="str">
        <f>VLOOKUP($O$2,Form_PrimeiraFase!$C$2:$FB$69,108,FALSE)</f>
        <v>Empate</v>
      </c>
      <c r="P114" s="32" t="str">
        <f>VLOOKUP($P$2,Form_PrimeiraFase!$C$2:$FB$69,108,FALSE)</f>
        <v>Paris Saint-Germain</v>
      </c>
      <c r="Q114" s="32" t="str">
        <f>VLOOKUP($Q$2,Form_PrimeiraFase!$C$2:$FB$69,108,FALSE)</f>
        <v>Empate</v>
      </c>
      <c r="R114" s="32" t="str">
        <f>VLOOKUP($R$2,Form_PrimeiraFase!$C$2:$FB$69,108,FALSE)</f>
        <v>Paris Saint-Germain</v>
      </c>
      <c r="S114" s="32" t="str">
        <f>VLOOKUP($S$2,Form_PrimeiraFase!$C$2:$FB$69,108,FALSE)</f>
        <v>Paris Saint-Germain</v>
      </c>
      <c r="T114" s="32" t="str">
        <f>VLOOKUP($T$2,Form_PrimeiraFase!$C$2:$FB$69,108,FALSE)</f>
        <v>Athletic Bilbao</v>
      </c>
      <c r="U114" s="32" t="str">
        <f>VLOOKUP($U$2,Form_PrimeiraFase!$C$2:$FB$69,108,FALSE)</f>
        <v>Paris Saint-Germain</v>
      </c>
      <c r="V114" s="32" t="str">
        <f>VLOOKUP($V$2,Form_PrimeiraFase!$C$2:$FB$69,108,FALSE)</f>
        <v>Paris Saint-Germain</v>
      </c>
      <c r="W114" s="32" t="str">
        <f>VLOOKUP($W$2,Form_PrimeiraFase!$C$2:$FB$69,108,FALSE)</f>
        <v>Paris Saint-Germain</v>
      </c>
      <c r="X114" s="33">
        <f t="shared" ref="X114:Y114" si="345">COUNTIF($C114:$W114,J114)</f>
        <v>16</v>
      </c>
      <c r="Y114" s="33">
        <f t="shared" si="345"/>
        <v>2</v>
      </c>
      <c r="Z114" s="33">
        <f t="shared" si="9"/>
        <v>16</v>
      </c>
      <c r="AA114" s="33">
        <f t="shared" si="10"/>
        <v>16</v>
      </c>
      <c r="AB114" s="33">
        <f t="shared" ref="AB114:AC114" si="346">COUNTIF($C114:$W114,N114)</f>
        <v>16</v>
      </c>
      <c r="AC114" s="33">
        <f t="shared" si="346"/>
        <v>3</v>
      </c>
      <c r="AD114" s="33">
        <f t="shared" si="12"/>
        <v>3</v>
      </c>
      <c r="AE114" s="33">
        <f t="shared" si="13"/>
        <v>16</v>
      </c>
      <c r="AF114" s="33">
        <f t="shared" si="14"/>
        <v>16</v>
      </c>
      <c r="AG114" s="33">
        <f t="shared" si="15"/>
        <v>16</v>
      </c>
      <c r="AH114" s="33">
        <f t="shared" si="16"/>
        <v>16</v>
      </c>
      <c r="AI114" s="33">
        <f t="shared" si="17"/>
        <v>16</v>
      </c>
      <c r="AJ114" s="33">
        <f t="shared" si="18"/>
        <v>16</v>
      </c>
      <c r="AK114" s="33">
        <f t="shared" si="19"/>
        <v>16</v>
      </c>
      <c r="AL114" s="33">
        <f t="shared" si="20"/>
        <v>3</v>
      </c>
      <c r="AM114" s="33">
        <f t="shared" si="21"/>
        <v>16</v>
      </c>
      <c r="AN114" s="33">
        <f t="shared" si="22"/>
        <v>16</v>
      </c>
      <c r="AO114" s="33">
        <f t="shared" ref="AO114:AR114" si="347">COUNTIF($C114:$W114,T114)</f>
        <v>2</v>
      </c>
      <c r="AP114" s="33">
        <f t="shared" si="347"/>
        <v>16</v>
      </c>
      <c r="AQ114" s="33">
        <f t="shared" si="347"/>
        <v>16</v>
      </c>
      <c r="AR114" s="33">
        <f t="shared" si="347"/>
        <v>16</v>
      </c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</row>
    <row r="115" ht="10.5" customHeight="1">
      <c r="A115" s="30" t="s">
        <v>73</v>
      </c>
      <c r="B115" s="31" t="s">
        <v>49</v>
      </c>
      <c r="C115" s="32" t="str">
        <f>VLOOKUP($C$2,Form_PrimeiraFase!$C$2:$FB$69,109,FALSE)</f>
        <v>Real Madrid</v>
      </c>
      <c r="D115" s="32" t="str">
        <f>VLOOKUP($D$2,Form_PrimeiraFase!$C$2:$FB$69,109,FALSE)</f>
        <v>Real Madrid</v>
      </c>
      <c r="E115" s="32" t="str">
        <f>VLOOKUP($E$2,Form_PrimeiraFase!$C$2:$FB$69,109,FALSE)</f>
        <v>Real Madrid</v>
      </c>
      <c r="F115" s="32" t="str">
        <f>VLOOKUP($F$2,Form_PrimeiraFase!$C$2:$FB$69,109,FALSE)</f>
        <v>Real Madrid</v>
      </c>
      <c r="G115" s="32" t="str">
        <f>VLOOKUP($G$2,Form_PrimeiraFase!$C$2:$FB$69,109,FALSE)</f>
        <v>Real Madrid</v>
      </c>
      <c r="H115" s="32" t="str">
        <f>VLOOKUP($H$2,Form_PrimeiraFase!$C$2:$FB$69,109,FALSE)</f>
        <v>Real Madrid</v>
      </c>
      <c r="I115" s="32" t="str">
        <f>VLOOKUP($I$2,Form_PrimeiraFase!$C$2:$FB$69,109,FALSE)</f>
        <v>Real Madrid</v>
      </c>
      <c r="J115" s="32" t="str">
        <f>VLOOKUP($J$2,Form_PrimeiraFase!$C$2:$FB$69,109,FALSE)</f>
        <v>Real Madrid</v>
      </c>
      <c r="K115" s="32" t="str">
        <f>VLOOKUP($K$2,Form_PrimeiraFase!$C$2:$FB$69,109,FALSE)</f>
        <v>Real Madrid</v>
      </c>
      <c r="L115" s="32" t="str">
        <f>VLOOKUP($L$2,Form_PrimeiraFase!$C$2:$FB$69,109,FALSE)</f>
        <v>Empate</v>
      </c>
      <c r="M115" s="32" t="str">
        <f>VLOOKUP($M$2,Form_PrimeiraFase!$C$2:$FB$69,109,FALSE)</f>
        <v>Real Madrid</v>
      </c>
      <c r="N115" s="32" t="str">
        <f>VLOOKUP($N$2,Form_PrimeiraFase!$C$2:$FB$69,109,FALSE)</f>
        <v>Real Madrid</v>
      </c>
      <c r="O115" s="32" t="str">
        <f>VLOOKUP($O$2,Form_PrimeiraFase!$C$2:$FB$69,109,FALSE)</f>
        <v>Empate</v>
      </c>
      <c r="P115" s="32" t="str">
        <f>VLOOKUP($P$2,Form_PrimeiraFase!$C$2:$FB$69,109,FALSE)</f>
        <v>Real Madrid</v>
      </c>
      <c r="Q115" s="32" t="str">
        <f>VLOOKUP($Q$2,Form_PrimeiraFase!$C$2:$FB$69,109,FALSE)</f>
        <v>Manchester City</v>
      </c>
      <c r="R115" s="32" t="str">
        <f>VLOOKUP($R$2,Form_PrimeiraFase!$C$2:$FB$69,109,FALSE)</f>
        <v>Real Madrid</v>
      </c>
      <c r="S115" s="32" t="str">
        <f>VLOOKUP($S$2,Form_PrimeiraFase!$C$2:$FB$69,109,FALSE)</f>
        <v>Empate</v>
      </c>
      <c r="T115" s="32" t="str">
        <f>VLOOKUP($T$2,Form_PrimeiraFase!$C$2:$FB$69,109,FALSE)</f>
        <v>Real Madrid</v>
      </c>
      <c r="U115" s="32" t="str">
        <f>VLOOKUP($U$2,Form_PrimeiraFase!$C$2:$FB$69,109,FALSE)</f>
        <v>Real Madrid</v>
      </c>
      <c r="V115" s="32" t="str">
        <f>VLOOKUP($V$2,Form_PrimeiraFase!$C$2:$FB$69,109,FALSE)</f>
        <v>Real Madrid</v>
      </c>
      <c r="W115" s="32" t="str">
        <f>VLOOKUP($W$2,Form_PrimeiraFase!$C$2:$FB$69,109,FALSE)</f>
        <v>Real Madrid</v>
      </c>
      <c r="X115" s="33">
        <f t="shared" ref="X115:Y115" si="348">COUNTIF($C115:$W115,J115)</f>
        <v>17</v>
      </c>
      <c r="Y115" s="33">
        <f t="shared" si="348"/>
        <v>17</v>
      </c>
      <c r="Z115" s="33">
        <f t="shared" si="9"/>
        <v>17</v>
      </c>
      <c r="AA115" s="33">
        <f t="shared" si="10"/>
        <v>17</v>
      </c>
      <c r="AB115" s="33">
        <f t="shared" ref="AB115:AC115" si="349">COUNTIF($C115:$W115,N115)</f>
        <v>17</v>
      </c>
      <c r="AC115" s="33">
        <f t="shared" si="349"/>
        <v>3</v>
      </c>
      <c r="AD115" s="33">
        <f t="shared" si="12"/>
        <v>17</v>
      </c>
      <c r="AE115" s="33">
        <f t="shared" si="13"/>
        <v>17</v>
      </c>
      <c r="AF115" s="33">
        <f t="shared" si="14"/>
        <v>17</v>
      </c>
      <c r="AG115" s="33">
        <f t="shared" si="15"/>
        <v>3</v>
      </c>
      <c r="AH115" s="33">
        <f t="shared" si="16"/>
        <v>17</v>
      </c>
      <c r="AI115" s="33">
        <f t="shared" si="17"/>
        <v>17</v>
      </c>
      <c r="AJ115" s="33">
        <f t="shared" si="18"/>
        <v>17</v>
      </c>
      <c r="AK115" s="33">
        <f t="shared" si="19"/>
        <v>17</v>
      </c>
      <c r="AL115" s="33">
        <f t="shared" si="20"/>
        <v>1</v>
      </c>
      <c r="AM115" s="33">
        <f t="shared" si="21"/>
        <v>3</v>
      </c>
      <c r="AN115" s="33">
        <f t="shared" si="22"/>
        <v>17</v>
      </c>
      <c r="AO115" s="33">
        <f t="shared" ref="AO115:AR115" si="350">COUNTIF($C115:$W115,T115)</f>
        <v>17</v>
      </c>
      <c r="AP115" s="33">
        <f t="shared" si="350"/>
        <v>17</v>
      </c>
      <c r="AQ115" s="33">
        <f t="shared" si="350"/>
        <v>17</v>
      </c>
      <c r="AR115" s="33">
        <f t="shared" si="350"/>
        <v>17</v>
      </c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</row>
    <row r="116" ht="10.5" customHeight="1">
      <c r="A116" s="30" t="s">
        <v>76</v>
      </c>
      <c r="B116" s="31" t="s">
        <v>48</v>
      </c>
      <c r="C116" s="32" t="str">
        <f>VLOOKUP($C$2,Form_PrimeiraFase!$C$2:$FB$69,110,FALSE)</f>
        <v>Club Brugge</v>
      </c>
      <c r="D116" s="32" t="str">
        <f>VLOOKUP($D$2,Form_PrimeiraFase!$C$2:$FB$69,110,FALSE)</f>
        <v>Club Brugge</v>
      </c>
      <c r="E116" s="32" t="str">
        <f>VLOOKUP($E$2,Form_PrimeiraFase!$C$2:$FB$69,110,FALSE)</f>
        <v>Kairat</v>
      </c>
      <c r="F116" s="32" t="str">
        <f>VLOOKUP($F$2,Form_PrimeiraFase!$C$2:$FB$69,110,FALSE)</f>
        <v>Club Brugge</v>
      </c>
      <c r="G116" s="32" t="str">
        <f>VLOOKUP($G$2,Form_PrimeiraFase!$C$2:$FB$69,110,FALSE)</f>
        <v>Club Brugge</v>
      </c>
      <c r="H116" s="32" t="str">
        <f>VLOOKUP($H$2,Form_PrimeiraFase!$C$2:$FB$69,110,FALSE)</f>
        <v>Kairat</v>
      </c>
      <c r="I116" s="32" t="str">
        <f>VLOOKUP($I$2,Form_PrimeiraFase!$C$2:$FB$69,110,FALSE)</f>
        <v>Club Brugge</v>
      </c>
      <c r="J116" s="32" t="str">
        <f>VLOOKUP($J$2,Form_PrimeiraFase!$C$2:$FB$69,110,FALSE)</f>
        <v>Kairat</v>
      </c>
      <c r="K116" s="32" t="str">
        <f>VLOOKUP($K$2,Form_PrimeiraFase!$C$2:$FB$69,110,FALSE)</f>
        <v>Club Brugge</v>
      </c>
      <c r="L116" s="32" t="str">
        <f>VLOOKUP($L$2,Form_PrimeiraFase!$C$2:$FB$69,110,FALSE)</f>
        <v>Kairat</v>
      </c>
      <c r="M116" s="32" t="str">
        <f>VLOOKUP($M$2,Form_PrimeiraFase!$C$2:$FB$69,110,FALSE)</f>
        <v>Club Brugge</v>
      </c>
      <c r="N116" s="32" t="str">
        <f>VLOOKUP($N$2,Form_PrimeiraFase!$C$2:$FB$69,110,FALSE)</f>
        <v>Club Brugge</v>
      </c>
      <c r="O116" s="32" t="str">
        <f>VLOOKUP($O$2,Form_PrimeiraFase!$C$2:$FB$69,110,FALSE)</f>
        <v>Empate</v>
      </c>
      <c r="P116" s="32" t="str">
        <f>VLOOKUP($P$2,Form_PrimeiraFase!$C$2:$FB$69,110,FALSE)</f>
        <v>Club Brugge</v>
      </c>
      <c r="Q116" s="32" t="str">
        <f>VLOOKUP($Q$2,Form_PrimeiraFase!$C$2:$FB$69,110,FALSE)</f>
        <v>Club Brugge</v>
      </c>
      <c r="R116" s="32" t="str">
        <f>VLOOKUP($R$2,Form_PrimeiraFase!$C$2:$FB$69,110,FALSE)</f>
        <v>Club Brugge</v>
      </c>
      <c r="S116" s="32" t="str">
        <f>VLOOKUP($S$2,Form_PrimeiraFase!$C$2:$FB$69,110,FALSE)</f>
        <v>Club Brugge</v>
      </c>
      <c r="T116" s="32" t="str">
        <f>VLOOKUP($T$2,Form_PrimeiraFase!$C$2:$FB$69,110,FALSE)</f>
        <v>Empate</v>
      </c>
      <c r="U116" s="32" t="str">
        <f>VLOOKUP($U$2,Form_PrimeiraFase!$C$2:$FB$69,110,FALSE)</f>
        <v>Empate</v>
      </c>
      <c r="V116" s="32" t="str">
        <f>VLOOKUP($V$2,Form_PrimeiraFase!$C$2:$FB$69,110,FALSE)</f>
        <v>Club Brugge</v>
      </c>
      <c r="W116" s="32" t="str">
        <f>VLOOKUP($W$2,Form_PrimeiraFase!$C$2:$FB$69,110,FALSE)</f>
        <v>Club Brugge</v>
      </c>
      <c r="X116" s="33">
        <f t="shared" ref="X116:Y116" si="351">COUNTIF($C116:$W116,J116)</f>
        <v>4</v>
      </c>
      <c r="Y116" s="33">
        <f t="shared" si="351"/>
        <v>14</v>
      </c>
      <c r="Z116" s="33">
        <f t="shared" si="9"/>
        <v>14</v>
      </c>
      <c r="AA116" s="33">
        <f t="shared" si="10"/>
        <v>14</v>
      </c>
      <c r="AB116" s="33">
        <f t="shared" ref="AB116:AC116" si="352">COUNTIF($C116:$W116,N116)</f>
        <v>14</v>
      </c>
      <c r="AC116" s="33">
        <f t="shared" si="352"/>
        <v>3</v>
      </c>
      <c r="AD116" s="33">
        <f t="shared" si="12"/>
        <v>14</v>
      </c>
      <c r="AE116" s="33">
        <f t="shared" si="13"/>
        <v>14</v>
      </c>
      <c r="AF116" s="33">
        <f t="shared" si="14"/>
        <v>4</v>
      </c>
      <c r="AG116" s="33">
        <f t="shared" si="15"/>
        <v>14</v>
      </c>
      <c r="AH116" s="33">
        <f t="shared" si="16"/>
        <v>14</v>
      </c>
      <c r="AI116" s="33">
        <f t="shared" si="17"/>
        <v>14</v>
      </c>
      <c r="AJ116" s="33">
        <f t="shared" si="18"/>
        <v>14</v>
      </c>
      <c r="AK116" s="33">
        <f t="shared" si="19"/>
        <v>14</v>
      </c>
      <c r="AL116" s="33">
        <f t="shared" si="20"/>
        <v>14</v>
      </c>
      <c r="AM116" s="33">
        <f t="shared" si="21"/>
        <v>4</v>
      </c>
      <c r="AN116" s="33">
        <f t="shared" si="22"/>
        <v>4</v>
      </c>
      <c r="AO116" s="33">
        <f t="shared" ref="AO116:AR116" si="353">COUNTIF($C116:$W116,T116)</f>
        <v>3</v>
      </c>
      <c r="AP116" s="33">
        <f t="shared" si="353"/>
        <v>3</v>
      </c>
      <c r="AQ116" s="33">
        <f t="shared" si="353"/>
        <v>14</v>
      </c>
      <c r="AR116" s="33">
        <f t="shared" si="353"/>
        <v>14</v>
      </c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</row>
    <row r="117" ht="10.5" customHeight="1">
      <c r="A117" s="30" t="s">
        <v>76</v>
      </c>
      <c r="B117" s="31" t="s">
        <v>77</v>
      </c>
      <c r="C117" s="32" t="str">
        <f>VLOOKUP($C$2,Form_PrimeiraFase!$C$2:$FB$69,111,FALSE)</f>
        <v>Manchester City</v>
      </c>
      <c r="D117" s="32" t="str">
        <f>VLOOKUP($D$2,Form_PrimeiraFase!$C$2:$FB$69,111,FALSE)</f>
        <v>Manchester City</v>
      </c>
      <c r="E117" s="32" t="str">
        <f>VLOOKUP($E$2,Form_PrimeiraFase!$C$2:$FB$69,111,FALSE)</f>
        <v>Manchester City</v>
      </c>
      <c r="F117" s="32" t="str">
        <f>VLOOKUP($F$2,Form_PrimeiraFase!$C$2:$FB$69,111,FALSE)</f>
        <v>Manchester City</v>
      </c>
      <c r="G117" s="32" t="str">
        <f>VLOOKUP($G$2,Form_PrimeiraFase!$C$2:$FB$69,111,FALSE)</f>
        <v>Manchester City</v>
      </c>
      <c r="H117" s="32" t="str">
        <f>VLOOKUP($H$2,Form_PrimeiraFase!$C$2:$FB$69,111,FALSE)</f>
        <v>Manchester City</v>
      </c>
      <c r="I117" s="32" t="str">
        <f>VLOOKUP($I$2,Form_PrimeiraFase!$C$2:$FB$69,111,FALSE)</f>
        <v>Manchester City</v>
      </c>
      <c r="J117" s="32" t="str">
        <f>VLOOKUP($J$2,Form_PrimeiraFase!$C$2:$FB$69,111,FALSE)</f>
        <v>Manchester City</v>
      </c>
      <c r="K117" s="32" t="str">
        <f>VLOOKUP($K$2,Form_PrimeiraFase!$C$2:$FB$69,111,FALSE)</f>
        <v>Manchester City</v>
      </c>
      <c r="L117" s="32" t="str">
        <f>VLOOKUP($L$2,Form_PrimeiraFase!$C$2:$FB$69,111,FALSE)</f>
        <v>Manchester City</v>
      </c>
      <c r="M117" s="32" t="str">
        <f>VLOOKUP($M$2,Form_PrimeiraFase!$C$2:$FB$69,111,FALSE)</f>
        <v>Manchester City</v>
      </c>
      <c r="N117" s="32" t="str">
        <f>VLOOKUP($N$2,Form_PrimeiraFase!$C$2:$FB$69,111,FALSE)</f>
        <v>Manchester City</v>
      </c>
      <c r="O117" s="32" t="str">
        <f>VLOOKUP($O$2,Form_PrimeiraFase!$C$2:$FB$69,111,FALSE)</f>
        <v>Manchester City</v>
      </c>
      <c r="P117" s="32" t="str">
        <f>VLOOKUP($P$2,Form_PrimeiraFase!$C$2:$FB$69,111,FALSE)</f>
        <v>Manchester City</v>
      </c>
      <c r="Q117" s="32" t="str">
        <f>VLOOKUP($Q$2,Form_PrimeiraFase!$C$2:$FB$69,111,FALSE)</f>
        <v>Manchester City</v>
      </c>
      <c r="R117" s="32" t="str">
        <f>VLOOKUP($R$2,Form_PrimeiraFase!$C$2:$FB$69,111,FALSE)</f>
        <v>Manchester City</v>
      </c>
      <c r="S117" s="32" t="str">
        <f>VLOOKUP($S$2,Form_PrimeiraFase!$C$2:$FB$69,111,FALSE)</f>
        <v>Manchester City</v>
      </c>
      <c r="T117" s="32" t="str">
        <f>VLOOKUP($T$2,Form_PrimeiraFase!$C$2:$FB$69,111,FALSE)</f>
        <v>Manchester City</v>
      </c>
      <c r="U117" s="32" t="str">
        <f>VLOOKUP($U$2,Form_PrimeiraFase!$C$2:$FB$69,111,FALSE)</f>
        <v>Manchester City</v>
      </c>
      <c r="V117" s="32" t="str">
        <f>VLOOKUP($V$2,Form_PrimeiraFase!$C$2:$FB$69,111,FALSE)</f>
        <v>Manchester City</v>
      </c>
      <c r="W117" s="32" t="str">
        <f>VLOOKUP($W$2,Form_PrimeiraFase!$C$2:$FB$69,111,FALSE)</f>
        <v>Manchester City</v>
      </c>
      <c r="X117" s="33">
        <f t="shared" ref="X117:Y117" si="354">COUNTIF($C117:$W117,J117)</f>
        <v>21</v>
      </c>
      <c r="Y117" s="33">
        <f t="shared" si="354"/>
        <v>21</v>
      </c>
      <c r="Z117" s="33">
        <f t="shared" si="9"/>
        <v>21</v>
      </c>
      <c r="AA117" s="33">
        <f t="shared" si="10"/>
        <v>21</v>
      </c>
      <c r="AB117" s="33">
        <f t="shared" ref="AB117:AC117" si="355">COUNTIF($C117:$W117,N117)</f>
        <v>21</v>
      </c>
      <c r="AC117" s="33">
        <f t="shared" si="355"/>
        <v>21</v>
      </c>
      <c r="AD117" s="33">
        <f t="shared" si="12"/>
        <v>21</v>
      </c>
      <c r="AE117" s="33">
        <f t="shared" si="13"/>
        <v>21</v>
      </c>
      <c r="AF117" s="33">
        <f t="shared" si="14"/>
        <v>21</v>
      </c>
      <c r="AG117" s="33">
        <f t="shared" si="15"/>
        <v>21</v>
      </c>
      <c r="AH117" s="33">
        <f t="shared" si="16"/>
        <v>21</v>
      </c>
      <c r="AI117" s="33">
        <f t="shared" si="17"/>
        <v>21</v>
      </c>
      <c r="AJ117" s="33">
        <f t="shared" si="18"/>
        <v>21</v>
      </c>
      <c r="AK117" s="33">
        <f t="shared" si="19"/>
        <v>21</v>
      </c>
      <c r="AL117" s="33">
        <f t="shared" si="20"/>
        <v>21</v>
      </c>
      <c r="AM117" s="33">
        <f t="shared" si="21"/>
        <v>21</v>
      </c>
      <c r="AN117" s="33">
        <f t="shared" si="22"/>
        <v>21</v>
      </c>
      <c r="AO117" s="33">
        <f t="shared" ref="AO117:AR117" si="356">COUNTIF($C117:$W117,T117)</f>
        <v>21</v>
      </c>
      <c r="AP117" s="33">
        <f t="shared" si="356"/>
        <v>21</v>
      </c>
      <c r="AQ117" s="33">
        <f t="shared" si="356"/>
        <v>21</v>
      </c>
      <c r="AR117" s="33">
        <f t="shared" si="356"/>
        <v>21</v>
      </c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</row>
    <row r="118" ht="10.5" customHeight="1">
      <c r="A118" s="30" t="s">
        <v>76</v>
      </c>
      <c r="B118" s="31" t="s">
        <v>40</v>
      </c>
      <c r="C118" s="32" t="str">
        <f>VLOOKUP($C$2,Form_PrimeiraFase!$C$2:$FB$69,112,FALSE)</f>
        <v>Real Madrid</v>
      </c>
      <c r="D118" s="32" t="str">
        <f>VLOOKUP($D$2,Form_PrimeiraFase!$C$2:$FB$69,112,FALSE)</f>
        <v>Real Madrid</v>
      </c>
      <c r="E118" s="32" t="str">
        <f>VLOOKUP($E$2,Form_PrimeiraFase!$C$2:$FB$69,112,FALSE)</f>
        <v>Real Madrid</v>
      </c>
      <c r="F118" s="32" t="str">
        <f>VLOOKUP($F$2,Form_PrimeiraFase!$C$2:$FB$69,112,FALSE)</f>
        <v>Real Madrid</v>
      </c>
      <c r="G118" s="32" t="str">
        <f>VLOOKUP($G$2,Form_PrimeiraFase!$C$2:$FB$69,112,FALSE)</f>
        <v>Real Madrid</v>
      </c>
      <c r="H118" s="32" t="str">
        <f>VLOOKUP($H$2,Form_PrimeiraFase!$C$2:$FB$69,112,FALSE)</f>
        <v>Real Madrid</v>
      </c>
      <c r="I118" s="32" t="str">
        <f>VLOOKUP($I$2,Form_PrimeiraFase!$C$2:$FB$69,112,FALSE)</f>
        <v>Real Madrid</v>
      </c>
      <c r="J118" s="32" t="str">
        <f>VLOOKUP($J$2,Form_PrimeiraFase!$C$2:$FB$69,112,FALSE)</f>
        <v>Real Madrid</v>
      </c>
      <c r="K118" s="32" t="str">
        <f>VLOOKUP($K$2,Form_PrimeiraFase!$C$2:$FB$69,112,FALSE)</f>
        <v>Real Madrid</v>
      </c>
      <c r="L118" s="32" t="str">
        <f>VLOOKUP($L$2,Form_PrimeiraFase!$C$2:$FB$69,112,FALSE)</f>
        <v>Real Madrid</v>
      </c>
      <c r="M118" s="32" t="str">
        <f>VLOOKUP($M$2,Form_PrimeiraFase!$C$2:$FB$69,112,FALSE)</f>
        <v>Real Madrid</v>
      </c>
      <c r="N118" s="32" t="str">
        <f>VLOOKUP($N$2,Form_PrimeiraFase!$C$2:$FB$69,112,FALSE)</f>
        <v>Real Madrid</v>
      </c>
      <c r="O118" s="32" t="str">
        <f>VLOOKUP($O$2,Form_PrimeiraFase!$C$2:$FB$69,112,FALSE)</f>
        <v>Real Madrid</v>
      </c>
      <c r="P118" s="32" t="str">
        <f>VLOOKUP($P$2,Form_PrimeiraFase!$C$2:$FB$69,112,FALSE)</f>
        <v>Real Madrid</v>
      </c>
      <c r="Q118" s="32" t="str">
        <f>VLOOKUP($Q$2,Form_PrimeiraFase!$C$2:$FB$69,112,FALSE)</f>
        <v>Real Madrid</v>
      </c>
      <c r="R118" s="32" t="str">
        <f>VLOOKUP($R$2,Form_PrimeiraFase!$C$2:$FB$69,112,FALSE)</f>
        <v>Real Madrid</v>
      </c>
      <c r="S118" s="32" t="str">
        <f>VLOOKUP($S$2,Form_PrimeiraFase!$C$2:$FB$69,112,FALSE)</f>
        <v>Real Madrid</v>
      </c>
      <c r="T118" s="32" t="str">
        <f>VLOOKUP($T$2,Form_PrimeiraFase!$C$2:$FB$69,112,FALSE)</f>
        <v>Real Madrid</v>
      </c>
      <c r="U118" s="32" t="str">
        <f>VLOOKUP($U$2,Form_PrimeiraFase!$C$2:$FB$69,112,FALSE)</f>
        <v>Real Madrid</v>
      </c>
      <c r="V118" s="32" t="str">
        <f>VLOOKUP($V$2,Form_PrimeiraFase!$C$2:$FB$69,112,FALSE)</f>
        <v>Real Madrid</v>
      </c>
      <c r="W118" s="32" t="str">
        <f>VLOOKUP($W$2,Form_PrimeiraFase!$C$2:$FB$69,112,FALSE)</f>
        <v>Real Madrid</v>
      </c>
      <c r="X118" s="33">
        <f t="shared" ref="X118:Y118" si="357">COUNTIF($C118:$W118,J118)</f>
        <v>21</v>
      </c>
      <c r="Y118" s="33">
        <f t="shared" si="357"/>
        <v>21</v>
      </c>
      <c r="Z118" s="33">
        <f t="shared" si="9"/>
        <v>21</v>
      </c>
      <c r="AA118" s="33">
        <f t="shared" si="10"/>
        <v>21</v>
      </c>
      <c r="AB118" s="33">
        <f t="shared" ref="AB118:AC118" si="358">COUNTIF($C118:$W118,N118)</f>
        <v>21</v>
      </c>
      <c r="AC118" s="33">
        <f t="shared" si="358"/>
        <v>21</v>
      </c>
      <c r="AD118" s="33">
        <f t="shared" si="12"/>
        <v>21</v>
      </c>
      <c r="AE118" s="33">
        <f t="shared" si="13"/>
        <v>21</v>
      </c>
      <c r="AF118" s="33">
        <f t="shared" si="14"/>
        <v>21</v>
      </c>
      <c r="AG118" s="33">
        <f t="shared" si="15"/>
        <v>21</v>
      </c>
      <c r="AH118" s="33">
        <f t="shared" si="16"/>
        <v>21</v>
      </c>
      <c r="AI118" s="33">
        <f t="shared" si="17"/>
        <v>21</v>
      </c>
      <c r="AJ118" s="33">
        <f t="shared" si="18"/>
        <v>21</v>
      </c>
      <c r="AK118" s="33">
        <f t="shared" si="19"/>
        <v>21</v>
      </c>
      <c r="AL118" s="33">
        <f t="shared" si="20"/>
        <v>21</v>
      </c>
      <c r="AM118" s="33">
        <f t="shared" si="21"/>
        <v>21</v>
      </c>
      <c r="AN118" s="33">
        <f t="shared" si="22"/>
        <v>21</v>
      </c>
      <c r="AO118" s="33">
        <f t="shared" ref="AO118:AR118" si="359">COUNTIF($C118:$W118,T118)</f>
        <v>21</v>
      </c>
      <c r="AP118" s="33">
        <f t="shared" si="359"/>
        <v>21</v>
      </c>
      <c r="AQ118" s="33">
        <f t="shared" si="359"/>
        <v>21</v>
      </c>
      <c r="AR118" s="33">
        <f t="shared" si="359"/>
        <v>21</v>
      </c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</row>
    <row r="119" ht="10.5" customHeight="1">
      <c r="A119" s="37" t="s">
        <v>76</v>
      </c>
      <c r="B119" s="31" t="s">
        <v>39</v>
      </c>
      <c r="C119" s="32" t="str">
        <f>VLOOKUP($C$2,Form_PrimeiraFase!$C$2:$FB$69,113,FALSE)</f>
        <v>Internazionale</v>
      </c>
      <c r="D119" s="32" t="str">
        <f>VLOOKUP($D$2,Form_PrimeiraFase!$C$2:$FB$69,113,FALSE)</f>
        <v>Internazionale</v>
      </c>
      <c r="E119" s="32" t="str">
        <f>VLOOKUP($E$2,Form_PrimeiraFase!$C$2:$FB$69,113,FALSE)</f>
        <v>Arsenal</v>
      </c>
      <c r="F119" s="32" t="str">
        <f>VLOOKUP($F$2,Form_PrimeiraFase!$C$2:$FB$69,113,FALSE)</f>
        <v>Arsenal</v>
      </c>
      <c r="G119" s="32" t="str">
        <f>VLOOKUP($G$2,Form_PrimeiraFase!$C$2:$FB$69,113,FALSE)</f>
        <v>Internazionale</v>
      </c>
      <c r="H119" s="32" t="str">
        <f>VLOOKUP($H$2,Form_PrimeiraFase!$C$2:$FB$69,113,FALSE)</f>
        <v>Arsenal</v>
      </c>
      <c r="I119" s="32" t="str">
        <f>VLOOKUP($I$2,Form_PrimeiraFase!$C$2:$FB$69,113,FALSE)</f>
        <v>Internazionale</v>
      </c>
      <c r="J119" s="32" t="str">
        <f>VLOOKUP($J$2,Form_PrimeiraFase!$C$2:$FB$69,113,FALSE)</f>
        <v>Internazionale</v>
      </c>
      <c r="K119" s="32" t="str">
        <f>VLOOKUP($K$2,Form_PrimeiraFase!$C$2:$FB$69,113,FALSE)</f>
        <v>Internazionale</v>
      </c>
      <c r="L119" s="32" t="str">
        <f>VLOOKUP($L$2,Form_PrimeiraFase!$C$2:$FB$69,113,FALSE)</f>
        <v>Internazionale</v>
      </c>
      <c r="M119" s="32" t="str">
        <f>VLOOKUP($M$2,Form_PrimeiraFase!$C$2:$FB$69,113,FALSE)</f>
        <v>Arsenal</v>
      </c>
      <c r="N119" s="32" t="str">
        <f>VLOOKUP($N$2,Form_PrimeiraFase!$C$2:$FB$69,113,FALSE)</f>
        <v>Arsenal</v>
      </c>
      <c r="O119" s="32" t="str">
        <f>VLOOKUP($O$2,Form_PrimeiraFase!$C$2:$FB$69,113,FALSE)</f>
        <v>Internazionale</v>
      </c>
      <c r="P119" s="32" t="str">
        <f>VLOOKUP($P$2,Form_PrimeiraFase!$C$2:$FB$69,113,FALSE)</f>
        <v>Internazionale</v>
      </c>
      <c r="Q119" s="32" t="str">
        <f>VLOOKUP($Q$2,Form_PrimeiraFase!$C$2:$FB$69,113,FALSE)</f>
        <v>Internazionale</v>
      </c>
      <c r="R119" s="32" t="str">
        <f>VLOOKUP($R$2,Form_PrimeiraFase!$C$2:$FB$69,113,FALSE)</f>
        <v>Internazionale</v>
      </c>
      <c r="S119" s="32" t="str">
        <f>VLOOKUP($S$2,Form_PrimeiraFase!$C$2:$FB$69,113,FALSE)</f>
        <v>Internazionale</v>
      </c>
      <c r="T119" s="32" t="str">
        <f>VLOOKUP($T$2,Form_PrimeiraFase!$C$2:$FB$69,113,FALSE)</f>
        <v>Internazionale</v>
      </c>
      <c r="U119" s="32" t="str">
        <f>VLOOKUP($U$2,Form_PrimeiraFase!$C$2:$FB$69,113,FALSE)</f>
        <v>Internazionale</v>
      </c>
      <c r="V119" s="32" t="str">
        <f>VLOOKUP($V$2,Form_PrimeiraFase!$C$2:$FB$69,113,FALSE)</f>
        <v>Internazionale</v>
      </c>
      <c r="W119" s="32" t="str">
        <f>VLOOKUP($W$2,Form_PrimeiraFase!$C$2:$FB$69,113,FALSE)</f>
        <v>Arsenal</v>
      </c>
      <c r="X119" s="33">
        <f t="shared" ref="X119:Y119" si="360">COUNTIF($C119:$W119,J119)</f>
        <v>15</v>
      </c>
      <c r="Y119" s="33">
        <f t="shared" si="360"/>
        <v>15</v>
      </c>
      <c r="Z119" s="33">
        <f t="shared" si="9"/>
        <v>15</v>
      </c>
      <c r="AA119" s="33">
        <f t="shared" si="10"/>
        <v>15</v>
      </c>
      <c r="AB119" s="33">
        <f t="shared" ref="AB119:AC119" si="361">COUNTIF($C119:$W119,N119)</f>
        <v>6</v>
      </c>
      <c r="AC119" s="33">
        <f t="shared" si="361"/>
        <v>15</v>
      </c>
      <c r="AD119" s="33">
        <f t="shared" si="12"/>
        <v>15</v>
      </c>
      <c r="AE119" s="33">
        <f t="shared" si="13"/>
        <v>6</v>
      </c>
      <c r="AF119" s="33">
        <f t="shared" si="14"/>
        <v>6</v>
      </c>
      <c r="AG119" s="33">
        <f t="shared" si="15"/>
        <v>15</v>
      </c>
      <c r="AH119" s="33">
        <f t="shared" si="16"/>
        <v>15</v>
      </c>
      <c r="AI119" s="33">
        <f t="shared" si="17"/>
        <v>15</v>
      </c>
      <c r="AJ119" s="33">
        <f t="shared" si="18"/>
        <v>6</v>
      </c>
      <c r="AK119" s="33">
        <f t="shared" si="19"/>
        <v>15</v>
      </c>
      <c r="AL119" s="33">
        <f t="shared" si="20"/>
        <v>15</v>
      </c>
      <c r="AM119" s="33">
        <f t="shared" si="21"/>
        <v>15</v>
      </c>
      <c r="AN119" s="33">
        <f t="shared" si="22"/>
        <v>6</v>
      </c>
      <c r="AO119" s="33">
        <f t="shared" ref="AO119:AR119" si="362">COUNTIF($C119:$W119,T119)</f>
        <v>15</v>
      </c>
      <c r="AP119" s="33">
        <f t="shared" si="362"/>
        <v>15</v>
      </c>
      <c r="AQ119" s="33">
        <f t="shared" si="362"/>
        <v>15</v>
      </c>
      <c r="AR119" s="33">
        <f t="shared" si="362"/>
        <v>6</v>
      </c>
      <c r="AS119" s="16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</row>
    <row r="120" ht="12.75" customHeight="1">
      <c r="A120" s="30" t="s">
        <v>76</v>
      </c>
      <c r="B120" s="31" t="s">
        <v>75</v>
      </c>
      <c r="C120" s="32" t="str">
        <f>VLOOKUP($C$2,Form_PrimeiraFase!$C$2:$FB$69,114,FALSE)</f>
        <v>Villarreal</v>
      </c>
      <c r="D120" s="32" t="str">
        <f>VLOOKUP($D$2,Form_PrimeiraFase!$C$2:$FB$69,114,FALSE)</f>
        <v>Villarreal</v>
      </c>
      <c r="E120" s="32" t="str">
        <f>VLOOKUP($E$2,Form_PrimeiraFase!$C$2:$FB$69,114,FALSE)</f>
        <v>Ajax</v>
      </c>
      <c r="F120" s="32" t="str">
        <f>VLOOKUP($F$2,Form_PrimeiraFase!$C$2:$FB$69,114,FALSE)</f>
        <v>Ajax</v>
      </c>
      <c r="G120" s="32" t="str">
        <f>VLOOKUP($G$2,Form_PrimeiraFase!$C$2:$FB$69,114,FALSE)</f>
        <v>Villarreal</v>
      </c>
      <c r="H120" s="32" t="str">
        <f>VLOOKUP($H$2,Form_PrimeiraFase!$C$2:$FB$69,114,FALSE)</f>
        <v>Villarreal</v>
      </c>
      <c r="I120" s="32" t="str">
        <f>VLOOKUP($I$2,Form_PrimeiraFase!$C$2:$FB$69,114,FALSE)</f>
        <v>Villarreal</v>
      </c>
      <c r="J120" s="32" t="str">
        <f>VLOOKUP($J$2,Form_PrimeiraFase!$C$2:$FB$69,114,FALSE)</f>
        <v>Villarreal</v>
      </c>
      <c r="K120" s="32" t="str">
        <f>VLOOKUP($K$2,Form_PrimeiraFase!$C$2:$FB$69,114,FALSE)</f>
        <v>Empate</v>
      </c>
      <c r="L120" s="32" t="str">
        <f>VLOOKUP($L$2,Form_PrimeiraFase!$C$2:$FB$69,114,FALSE)</f>
        <v>Empate</v>
      </c>
      <c r="M120" s="32" t="str">
        <f>VLOOKUP($M$2,Form_PrimeiraFase!$C$2:$FB$69,114,FALSE)</f>
        <v>Empate</v>
      </c>
      <c r="N120" s="32" t="str">
        <f>VLOOKUP($N$2,Form_PrimeiraFase!$C$2:$FB$69,114,FALSE)</f>
        <v>Villarreal</v>
      </c>
      <c r="O120" s="32" t="str">
        <f>VLOOKUP($O$2,Form_PrimeiraFase!$C$2:$FB$69,114,FALSE)</f>
        <v>Ajax</v>
      </c>
      <c r="P120" s="32" t="str">
        <f>VLOOKUP($P$2,Form_PrimeiraFase!$C$2:$FB$69,114,FALSE)</f>
        <v>Villarreal</v>
      </c>
      <c r="Q120" s="32" t="str">
        <f>VLOOKUP($Q$2,Form_PrimeiraFase!$C$2:$FB$69,114,FALSE)</f>
        <v>Villarreal</v>
      </c>
      <c r="R120" s="32" t="str">
        <f>VLOOKUP($R$2,Form_PrimeiraFase!$C$2:$FB$69,114,FALSE)</f>
        <v>Villarreal</v>
      </c>
      <c r="S120" s="32" t="str">
        <f>VLOOKUP($S$2,Form_PrimeiraFase!$C$2:$FB$69,114,FALSE)</f>
        <v>Empate</v>
      </c>
      <c r="T120" s="32" t="str">
        <f>VLOOKUP($T$2,Form_PrimeiraFase!$C$2:$FB$69,114,FALSE)</f>
        <v>Villarreal</v>
      </c>
      <c r="U120" s="32" t="str">
        <f>VLOOKUP($U$2,Form_PrimeiraFase!$C$2:$FB$69,114,FALSE)</f>
        <v>Empate</v>
      </c>
      <c r="V120" s="32" t="str">
        <f>VLOOKUP($V$2,Form_PrimeiraFase!$C$2:$FB$69,114,FALSE)</f>
        <v>Ajax</v>
      </c>
      <c r="W120" s="32" t="str">
        <f>VLOOKUP($W$2,Form_PrimeiraFase!$C$2:$FB$69,114,FALSE)</f>
        <v>Empate</v>
      </c>
      <c r="X120" s="33">
        <f t="shared" ref="X120:Y120" si="363">COUNTIF($C120:$W120,J120)</f>
        <v>11</v>
      </c>
      <c r="Y120" s="33">
        <f t="shared" si="363"/>
        <v>6</v>
      </c>
      <c r="Z120" s="33">
        <f t="shared" si="9"/>
        <v>11</v>
      </c>
      <c r="AA120" s="33">
        <f t="shared" si="10"/>
        <v>11</v>
      </c>
      <c r="AB120" s="33">
        <f t="shared" ref="AB120:AC120" si="364">COUNTIF($C120:$W120,N120)</f>
        <v>11</v>
      </c>
      <c r="AC120" s="33">
        <f t="shared" si="364"/>
        <v>4</v>
      </c>
      <c r="AD120" s="33">
        <f t="shared" si="12"/>
        <v>11</v>
      </c>
      <c r="AE120" s="33">
        <f t="shared" si="13"/>
        <v>4</v>
      </c>
      <c r="AF120" s="33">
        <f t="shared" si="14"/>
        <v>4</v>
      </c>
      <c r="AG120" s="33">
        <f t="shared" si="15"/>
        <v>6</v>
      </c>
      <c r="AH120" s="33">
        <f t="shared" si="16"/>
        <v>11</v>
      </c>
      <c r="AI120" s="33">
        <f t="shared" si="17"/>
        <v>11</v>
      </c>
      <c r="AJ120" s="33">
        <f t="shared" si="18"/>
        <v>6</v>
      </c>
      <c r="AK120" s="33">
        <f t="shared" si="19"/>
        <v>11</v>
      </c>
      <c r="AL120" s="33">
        <f t="shared" si="20"/>
        <v>11</v>
      </c>
      <c r="AM120" s="33">
        <f t="shared" si="21"/>
        <v>6</v>
      </c>
      <c r="AN120" s="33">
        <f t="shared" si="22"/>
        <v>11</v>
      </c>
      <c r="AO120" s="33">
        <f t="shared" ref="AO120:AR120" si="365">COUNTIF($C120:$W120,T120)</f>
        <v>11</v>
      </c>
      <c r="AP120" s="33">
        <f t="shared" si="365"/>
        <v>6</v>
      </c>
      <c r="AQ120" s="33">
        <f t="shared" si="365"/>
        <v>4</v>
      </c>
      <c r="AR120" s="33">
        <f t="shared" si="365"/>
        <v>6</v>
      </c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</row>
    <row r="121" ht="12.75" customHeight="1">
      <c r="A121" s="30" t="s">
        <v>76</v>
      </c>
      <c r="B121" s="31" t="s">
        <v>43</v>
      </c>
      <c r="C121" s="32" t="str">
        <f>VLOOKUP($C$2,Form_PrimeiraFase!$C$2:$FB$69,115,FALSE)</f>
        <v>Tottenham</v>
      </c>
      <c r="D121" s="32" t="str">
        <f>VLOOKUP($D$2,Form_PrimeiraFase!$C$2:$FB$69,115,FALSE)</f>
        <v>Borussia Dortmund</v>
      </c>
      <c r="E121" s="32" t="str">
        <f>VLOOKUP($E$2,Form_PrimeiraFase!$C$2:$FB$69,115,FALSE)</f>
        <v>Empate</v>
      </c>
      <c r="F121" s="32" t="str">
        <f>VLOOKUP($F$2,Form_PrimeiraFase!$C$2:$FB$69,115,FALSE)</f>
        <v>Tottenham</v>
      </c>
      <c r="G121" s="32" t="str">
        <f>VLOOKUP($G$2,Form_PrimeiraFase!$C$2:$FB$69,115,FALSE)</f>
        <v>Empate</v>
      </c>
      <c r="H121" s="32" t="str">
        <f>VLOOKUP($H$2,Form_PrimeiraFase!$C$2:$FB$69,115,FALSE)</f>
        <v>Tottenham</v>
      </c>
      <c r="I121" s="32" t="str">
        <f>VLOOKUP($I$2,Form_PrimeiraFase!$C$2:$FB$69,115,FALSE)</f>
        <v>Borussia Dortmund</v>
      </c>
      <c r="J121" s="32" t="str">
        <f>VLOOKUP($J$2,Form_PrimeiraFase!$C$2:$FB$69,115,FALSE)</f>
        <v>Tottenham</v>
      </c>
      <c r="K121" s="32" t="str">
        <f>VLOOKUP($K$2,Form_PrimeiraFase!$C$2:$FB$69,115,FALSE)</f>
        <v>Tottenham</v>
      </c>
      <c r="L121" s="32" t="str">
        <f>VLOOKUP($L$2,Form_PrimeiraFase!$C$2:$FB$69,115,FALSE)</f>
        <v>Tottenham</v>
      </c>
      <c r="M121" s="32" t="str">
        <f>VLOOKUP($M$2,Form_PrimeiraFase!$C$2:$FB$69,115,FALSE)</f>
        <v>Empate</v>
      </c>
      <c r="N121" s="32" t="str">
        <f>VLOOKUP($N$2,Form_PrimeiraFase!$C$2:$FB$69,115,FALSE)</f>
        <v>Tottenham</v>
      </c>
      <c r="O121" s="32" t="str">
        <f>VLOOKUP($O$2,Form_PrimeiraFase!$C$2:$FB$69,115,FALSE)</f>
        <v>Empate</v>
      </c>
      <c r="P121" s="32" t="str">
        <f>VLOOKUP($P$2,Form_PrimeiraFase!$C$2:$FB$69,115,FALSE)</f>
        <v>Tottenham</v>
      </c>
      <c r="Q121" s="32" t="str">
        <f>VLOOKUP($Q$2,Form_PrimeiraFase!$C$2:$FB$69,115,FALSE)</f>
        <v>Tottenham</v>
      </c>
      <c r="R121" s="32" t="str">
        <f>VLOOKUP($R$2,Form_PrimeiraFase!$C$2:$FB$69,115,FALSE)</f>
        <v>Tottenham</v>
      </c>
      <c r="S121" s="32" t="str">
        <f>VLOOKUP($S$2,Form_PrimeiraFase!$C$2:$FB$69,115,FALSE)</f>
        <v>Empate</v>
      </c>
      <c r="T121" s="32" t="str">
        <f>VLOOKUP($T$2,Form_PrimeiraFase!$C$2:$FB$69,115,FALSE)</f>
        <v>Tottenham</v>
      </c>
      <c r="U121" s="32" t="str">
        <f>VLOOKUP($U$2,Form_PrimeiraFase!$C$2:$FB$69,115,FALSE)</f>
        <v>Tottenham</v>
      </c>
      <c r="V121" s="32" t="str">
        <f>VLOOKUP($V$2,Form_PrimeiraFase!$C$2:$FB$69,115,FALSE)</f>
        <v>Tottenham</v>
      </c>
      <c r="W121" s="32" t="str">
        <f>VLOOKUP($W$2,Form_PrimeiraFase!$C$2:$FB$69,115,FALSE)</f>
        <v>Empate</v>
      </c>
      <c r="X121" s="33">
        <f t="shared" ref="X121:Y121" si="366">COUNTIF($C121:$W121,J121)</f>
        <v>13</v>
      </c>
      <c r="Y121" s="33">
        <f t="shared" si="366"/>
        <v>13</v>
      </c>
      <c r="Z121" s="33">
        <f t="shared" si="9"/>
        <v>13</v>
      </c>
      <c r="AA121" s="33">
        <f t="shared" si="10"/>
        <v>2</v>
      </c>
      <c r="AB121" s="33">
        <f t="shared" ref="AB121:AC121" si="367">COUNTIF($C121:$W121,N121)</f>
        <v>13</v>
      </c>
      <c r="AC121" s="33">
        <f t="shared" si="367"/>
        <v>6</v>
      </c>
      <c r="AD121" s="33">
        <f t="shared" si="12"/>
        <v>6</v>
      </c>
      <c r="AE121" s="33">
        <f t="shared" si="13"/>
        <v>13</v>
      </c>
      <c r="AF121" s="33">
        <f t="shared" si="14"/>
        <v>6</v>
      </c>
      <c r="AG121" s="33">
        <f t="shared" si="15"/>
        <v>6</v>
      </c>
      <c r="AH121" s="33">
        <f t="shared" si="16"/>
        <v>13</v>
      </c>
      <c r="AI121" s="33">
        <f t="shared" si="17"/>
        <v>13</v>
      </c>
      <c r="AJ121" s="33">
        <f t="shared" si="18"/>
        <v>6</v>
      </c>
      <c r="AK121" s="33">
        <f t="shared" si="19"/>
        <v>2</v>
      </c>
      <c r="AL121" s="33">
        <f t="shared" si="20"/>
        <v>13</v>
      </c>
      <c r="AM121" s="33">
        <f t="shared" si="21"/>
        <v>13</v>
      </c>
      <c r="AN121" s="33">
        <f t="shared" si="22"/>
        <v>13</v>
      </c>
      <c r="AO121" s="33">
        <f t="shared" ref="AO121:AR121" si="368">COUNTIF($C121:$W121,T121)</f>
        <v>13</v>
      </c>
      <c r="AP121" s="33">
        <f t="shared" si="368"/>
        <v>13</v>
      </c>
      <c r="AQ121" s="33">
        <f t="shared" si="368"/>
        <v>13</v>
      </c>
      <c r="AR121" s="33">
        <f t="shared" si="368"/>
        <v>6</v>
      </c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ht="12.75" customHeight="1">
      <c r="A122" s="30" t="s">
        <v>76</v>
      </c>
      <c r="B122" s="31" t="s">
        <v>51</v>
      </c>
      <c r="C122" s="32" t="str">
        <f>VLOOKUP($C$2,Form_PrimeiraFase!$C$2:$FB$69,116,FALSE)</f>
        <v>Paris Saint-Germain</v>
      </c>
      <c r="D122" s="32" t="str">
        <f>VLOOKUP($D$2,Form_PrimeiraFase!$C$2:$FB$69,116,FALSE)</f>
        <v>Paris Saint-Germain</v>
      </c>
      <c r="E122" s="32" t="str">
        <f>VLOOKUP($E$2,Form_PrimeiraFase!$C$2:$FB$69,116,FALSE)</f>
        <v>Paris Saint-Germain</v>
      </c>
      <c r="F122" s="32" t="str">
        <f>VLOOKUP($F$2,Form_PrimeiraFase!$C$2:$FB$69,116,FALSE)</f>
        <v>Paris Saint-Germain</v>
      </c>
      <c r="G122" s="32" t="str">
        <f>VLOOKUP($G$2,Form_PrimeiraFase!$C$2:$FB$69,116,FALSE)</f>
        <v>Paris Saint-Germain</v>
      </c>
      <c r="H122" s="32" t="str">
        <f>VLOOKUP($H$2,Form_PrimeiraFase!$C$2:$FB$69,116,FALSE)</f>
        <v>Paris Saint-Germain</v>
      </c>
      <c r="I122" s="32" t="str">
        <f>VLOOKUP($I$2,Form_PrimeiraFase!$C$2:$FB$69,116,FALSE)</f>
        <v>Paris Saint-Germain</v>
      </c>
      <c r="J122" s="32" t="str">
        <f>VLOOKUP($J$2,Form_PrimeiraFase!$C$2:$FB$69,116,FALSE)</f>
        <v>Paris Saint-Germain</v>
      </c>
      <c r="K122" s="32" t="str">
        <f>VLOOKUP($K$2,Form_PrimeiraFase!$C$2:$FB$69,116,FALSE)</f>
        <v>Paris Saint-Germain</v>
      </c>
      <c r="L122" s="32" t="str">
        <f>VLOOKUP($L$2,Form_PrimeiraFase!$C$2:$FB$69,116,FALSE)</f>
        <v>Empate</v>
      </c>
      <c r="M122" s="32" t="str">
        <f>VLOOKUP($M$2,Form_PrimeiraFase!$C$2:$FB$69,116,FALSE)</f>
        <v>Paris Saint-Germain</v>
      </c>
      <c r="N122" s="32" t="str">
        <f>VLOOKUP($N$2,Form_PrimeiraFase!$C$2:$FB$69,116,FALSE)</f>
        <v>Paris Saint-Germain</v>
      </c>
      <c r="O122" s="32" t="str">
        <f>VLOOKUP($O$2,Form_PrimeiraFase!$C$2:$FB$69,116,FALSE)</f>
        <v>Paris Saint-Germain</v>
      </c>
      <c r="P122" s="32" t="str">
        <f>VLOOKUP($P$2,Form_PrimeiraFase!$C$2:$FB$69,116,FALSE)</f>
        <v>Paris Saint-Germain</v>
      </c>
      <c r="Q122" s="32" t="str">
        <f>VLOOKUP($Q$2,Form_PrimeiraFase!$C$2:$FB$69,116,FALSE)</f>
        <v>Paris Saint-Germain</v>
      </c>
      <c r="R122" s="32" t="str">
        <f>VLOOKUP($R$2,Form_PrimeiraFase!$C$2:$FB$69,116,FALSE)</f>
        <v>Empate</v>
      </c>
      <c r="S122" s="32" t="str">
        <f>VLOOKUP($S$2,Form_PrimeiraFase!$C$2:$FB$69,116,FALSE)</f>
        <v>Paris Saint-Germain</v>
      </c>
      <c r="T122" s="32" t="str">
        <f>VLOOKUP($T$2,Form_PrimeiraFase!$C$2:$FB$69,116,FALSE)</f>
        <v>Sporting</v>
      </c>
      <c r="U122" s="32" t="str">
        <f>VLOOKUP($U$2,Form_PrimeiraFase!$C$2:$FB$69,116,FALSE)</f>
        <v>Paris Saint-Germain</v>
      </c>
      <c r="V122" s="32" t="str">
        <f>VLOOKUP($V$2,Form_PrimeiraFase!$C$2:$FB$69,116,FALSE)</f>
        <v>Paris Saint-Germain</v>
      </c>
      <c r="W122" s="32" t="str">
        <f>VLOOKUP($W$2,Form_PrimeiraFase!$C$2:$FB$69,116,FALSE)</f>
        <v>Paris Saint-Germain</v>
      </c>
      <c r="X122" s="33">
        <f t="shared" ref="X122:Y122" si="369">COUNTIF($C122:$W122,J122)</f>
        <v>18</v>
      </c>
      <c r="Y122" s="33">
        <f t="shared" si="369"/>
        <v>18</v>
      </c>
      <c r="Z122" s="33">
        <f t="shared" si="9"/>
        <v>2</v>
      </c>
      <c r="AA122" s="33">
        <f t="shared" si="10"/>
        <v>18</v>
      </c>
      <c r="AB122" s="33">
        <f t="shared" ref="AB122:AC122" si="370">COUNTIF($C122:$W122,N122)</f>
        <v>18</v>
      </c>
      <c r="AC122" s="33">
        <f t="shared" si="370"/>
        <v>18</v>
      </c>
      <c r="AD122" s="33">
        <f t="shared" si="12"/>
        <v>18</v>
      </c>
      <c r="AE122" s="33">
        <f t="shared" si="13"/>
        <v>18</v>
      </c>
      <c r="AF122" s="33">
        <f t="shared" si="14"/>
        <v>18</v>
      </c>
      <c r="AG122" s="33">
        <f t="shared" si="15"/>
        <v>18</v>
      </c>
      <c r="AH122" s="33">
        <f t="shared" si="16"/>
        <v>18</v>
      </c>
      <c r="AI122" s="33">
        <f t="shared" si="17"/>
        <v>18</v>
      </c>
      <c r="AJ122" s="33">
        <f t="shared" si="18"/>
        <v>18</v>
      </c>
      <c r="AK122" s="33">
        <f t="shared" si="19"/>
        <v>18</v>
      </c>
      <c r="AL122" s="33">
        <f t="shared" si="20"/>
        <v>18</v>
      </c>
      <c r="AM122" s="33">
        <f t="shared" si="21"/>
        <v>2</v>
      </c>
      <c r="AN122" s="33">
        <f t="shared" si="22"/>
        <v>18</v>
      </c>
      <c r="AO122" s="33">
        <f t="shared" ref="AO122:AR122" si="371">COUNTIF($C122:$W122,T122)</f>
        <v>1</v>
      </c>
      <c r="AP122" s="33">
        <f t="shared" si="371"/>
        <v>18</v>
      </c>
      <c r="AQ122" s="33">
        <f t="shared" si="371"/>
        <v>18</v>
      </c>
      <c r="AR122" s="33">
        <f t="shared" si="371"/>
        <v>18</v>
      </c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ht="12.75" customHeight="1">
      <c r="A123" s="30" t="s">
        <v>76</v>
      </c>
      <c r="B123" s="31" t="s">
        <v>74</v>
      </c>
      <c r="C123" s="32" t="str">
        <f>VLOOKUP($C$2,Form_PrimeiraFase!$C$2:$FB$69,117,FALSE)</f>
        <v>Bayer Leverkusen</v>
      </c>
      <c r="D123" s="32" t="str">
        <f>VLOOKUP($D$2,Form_PrimeiraFase!$C$2:$FB$69,117,FALSE)</f>
        <v>Bayer Leverkusen</v>
      </c>
      <c r="E123" s="32" t="str">
        <f>VLOOKUP($E$2,Form_PrimeiraFase!$C$2:$FB$69,117,FALSE)</f>
        <v>Bayer Leverkusen</v>
      </c>
      <c r="F123" s="32" t="str">
        <f>VLOOKUP($F$2,Form_PrimeiraFase!$C$2:$FB$69,117,FALSE)</f>
        <v>Bayer Leverkusen</v>
      </c>
      <c r="G123" s="32" t="str">
        <f>VLOOKUP($G$2,Form_PrimeiraFase!$C$2:$FB$69,117,FALSE)</f>
        <v>Empate</v>
      </c>
      <c r="H123" s="32" t="str">
        <f>VLOOKUP($H$2,Form_PrimeiraFase!$C$2:$FB$69,117,FALSE)</f>
        <v>Olympiacos</v>
      </c>
      <c r="I123" s="32" t="str">
        <f>VLOOKUP($I$2,Form_PrimeiraFase!$C$2:$FB$69,117,FALSE)</f>
        <v>Empate</v>
      </c>
      <c r="J123" s="32" t="str">
        <f>VLOOKUP($J$2,Form_PrimeiraFase!$C$2:$FB$69,117,FALSE)</f>
        <v>Bayer Leverkusen</v>
      </c>
      <c r="K123" s="32" t="str">
        <f>VLOOKUP($K$2,Form_PrimeiraFase!$C$2:$FB$69,117,FALSE)</f>
        <v>Olympiacos</v>
      </c>
      <c r="L123" s="32" t="str">
        <f>VLOOKUP($L$2,Form_PrimeiraFase!$C$2:$FB$69,117,FALSE)</f>
        <v>Bayer Leverkusen</v>
      </c>
      <c r="M123" s="32" t="str">
        <f>VLOOKUP($M$2,Form_PrimeiraFase!$C$2:$FB$69,117,FALSE)</f>
        <v>Empate</v>
      </c>
      <c r="N123" s="32" t="str">
        <f>VLOOKUP($N$2,Form_PrimeiraFase!$C$2:$FB$69,117,FALSE)</f>
        <v>Olympiacos</v>
      </c>
      <c r="O123" s="32" t="str">
        <f>VLOOKUP($O$2,Form_PrimeiraFase!$C$2:$FB$69,117,FALSE)</f>
        <v>Empate</v>
      </c>
      <c r="P123" s="32" t="str">
        <f>VLOOKUP($P$2,Form_PrimeiraFase!$C$2:$FB$69,117,FALSE)</f>
        <v>Olympiacos</v>
      </c>
      <c r="Q123" s="32" t="str">
        <f>VLOOKUP($Q$2,Form_PrimeiraFase!$C$2:$FB$69,117,FALSE)</f>
        <v>Olympiacos</v>
      </c>
      <c r="R123" s="32" t="str">
        <f>VLOOKUP($R$2,Form_PrimeiraFase!$C$2:$FB$69,117,FALSE)</f>
        <v>Olympiacos</v>
      </c>
      <c r="S123" s="32" t="str">
        <f>VLOOKUP($S$2,Form_PrimeiraFase!$C$2:$FB$69,117,FALSE)</f>
        <v>Olympiacos</v>
      </c>
      <c r="T123" s="32" t="str">
        <f>VLOOKUP($T$2,Form_PrimeiraFase!$C$2:$FB$69,117,FALSE)</f>
        <v>Olympiacos</v>
      </c>
      <c r="U123" s="32" t="str">
        <f>VLOOKUP($U$2,Form_PrimeiraFase!$C$2:$FB$69,117,FALSE)</f>
        <v>Bayer Leverkusen</v>
      </c>
      <c r="V123" s="32" t="str">
        <f>VLOOKUP($V$2,Form_PrimeiraFase!$C$2:$FB$69,117,FALSE)</f>
        <v>Bayer Leverkusen</v>
      </c>
      <c r="W123" s="32" t="str">
        <f>VLOOKUP($W$2,Form_PrimeiraFase!$C$2:$FB$69,117,FALSE)</f>
        <v>Bayer Leverkusen</v>
      </c>
      <c r="X123" s="33">
        <f t="shared" ref="X123:Y123" si="372">COUNTIF($C123:$W123,J123)</f>
        <v>9</v>
      </c>
      <c r="Y123" s="33">
        <f t="shared" si="372"/>
        <v>8</v>
      </c>
      <c r="Z123" s="33">
        <f t="shared" si="9"/>
        <v>8</v>
      </c>
      <c r="AA123" s="33">
        <f t="shared" si="10"/>
        <v>9</v>
      </c>
      <c r="AB123" s="33">
        <f t="shared" ref="AB123:AC123" si="373">COUNTIF($C123:$W123,N123)</f>
        <v>8</v>
      </c>
      <c r="AC123" s="33">
        <f t="shared" si="373"/>
        <v>4</v>
      </c>
      <c r="AD123" s="33">
        <f t="shared" si="12"/>
        <v>4</v>
      </c>
      <c r="AE123" s="33">
        <f t="shared" si="13"/>
        <v>9</v>
      </c>
      <c r="AF123" s="33">
        <f t="shared" si="14"/>
        <v>9</v>
      </c>
      <c r="AG123" s="33">
        <f t="shared" si="15"/>
        <v>8</v>
      </c>
      <c r="AH123" s="33">
        <f t="shared" si="16"/>
        <v>9</v>
      </c>
      <c r="AI123" s="33">
        <f t="shared" si="17"/>
        <v>8</v>
      </c>
      <c r="AJ123" s="33">
        <f t="shared" si="18"/>
        <v>4</v>
      </c>
      <c r="AK123" s="33">
        <f t="shared" si="19"/>
        <v>4</v>
      </c>
      <c r="AL123" s="33">
        <f t="shared" si="20"/>
        <v>8</v>
      </c>
      <c r="AM123" s="33">
        <f t="shared" si="21"/>
        <v>9</v>
      </c>
      <c r="AN123" s="33">
        <f t="shared" si="22"/>
        <v>8</v>
      </c>
      <c r="AO123" s="33">
        <f t="shared" ref="AO123:AR123" si="374">COUNTIF($C123:$W123,T123)</f>
        <v>8</v>
      </c>
      <c r="AP123" s="33">
        <f t="shared" si="374"/>
        <v>9</v>
      </c>
      <c r="AQ123" s="33">
        <f t="shared" si="374"/>
        <v>9</v>
      </c>
      <c r="AR123" s="33">
        <f t="shared" si="374"/>
        <v>9</v>
      </c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ht="12.75" customHeight="1">
      <c r="A124" s="30" t="s">
        <v>76</v>
      </c>
      <c r="B124" s="31" t="s">
        <v>42</v>
      </c>
      <c r="C124" s="32" t="str">
        <f>VLOOKUP($C$2,Form_PrimeiraFase!$C$2:$FB$69,118,FALSE)</f>
        <v>Napoli</v>
      </c>
      <c r="D124" s="32" t="str">
        <f>VLOOKUP($D$2,Form_PrimeiraFase!$C$2:$FB$69,118,FALSE)</f>
        <v>Napoli</v>
      </c>
      <c r="E124" s="32" t="str">
        <f>VLOOKUP($E$2,Form_PrimeiraFase!$C$2:$FB$69,118,FALSE)</f>
        <v>Copenhagen</v>
      </c>
      <c r="F124" s="32" t="str">
        <f>VLOOKUP($F$2,Form_PrimeiraFase!$C$2:$FB$69,118,FALSE)</f>
        <v>Empate</v>
      </c>
      <c r="G124" s="32" t="str">
        <f>VLOOKUP($G$2,Form_PrimeiraFase!$C$2:$FB$69,118,FALSE)</f>
        <v>Napoli</v>
      </c>
      <c r="H124" s="32" t="str">
        <f>VLOOKUP($H$2,Form_PrimeiraFase!$C$2:$FB$69,118,FALSE)</f>
        <v>Napoli</v>
      </c>
      <c r="I124" s="32" t="str">
        <f>VLOOKUP($I$2,Form_PrimeiraFase!$C$2:$FB$69,118,FALSE)</f>
        <v>Napoli</v>
      </c>
      <c r="J124" s="32" t="str">
        <f>VLOOKUP($J$2,Form_PrimeiraFase!$C$2:$FB$69,118,FALSE)</f>
        <v>Copenhagen</v>
      </c>
      <c r="K124" s="32" t="str">
        <f>VLOOKUP($K$2,Form_PrimeiraFase!$C$2:$FB$69,118,FALSE)</f>
        <v>Napoli</v>
      </c>
      <c r="L124" s="32" t="str">
        <f>VLOOKUP($L$2,Form_PrimeiraFase!$C$2:$FB$69,118,FALSE)</f>
        <v>Napoli</v>
      </c>
      <c r="M124" s="32" t="str">
        <f>VLOOKUP($M$2,Form_PrimeiraFase!$C$2:$FB$69,118,FALSE)</f>
        <v>Napoli</v>
      </c>
      <c r="N124" s="32" t="str">
        <f>VLOOKUP($N$2,Form_PrimeiraFase!$C$2:$FB$69,118,FALSE)</f>
        <v>Napoli</v>
      </c>
      <c r="O124" s="32" t="str">
        <f>VLOOKUP($O$2,Form_PrimeiraFase!$C$2:$FB$69,118,FALSE)</f>
        <v>Empate</v>
      </c>
      <c r="P124" s="32" t="str">
        <f>VLOOKUP($P$2,Form_PrimeiraFase!$C$2:$FB$69,118,FALSE)</f>
        <v>Napoli</v>
      </c>
      <c r="Q124" s="32" t="str">
        <f>VLOOKUP($Q$2,Form_PrimeiraFase!$C$2:$FB$69,118,FALSE)</f>
        <v>Napoli</v>
      </c>
      <c r="R124" s="32" t="str">
        <f>VLOOKUP($R$2,Form_PrimeiraFase!$C$2:$FB$69,118,FALSE)</f>
        <v>Copenhagen</v>
      </c>
      <c r="S124" s="32" t="str">
        <f>VLOOKUP($S$2,Form_PrimeiraFase!$C$2:$FB$69,118,FALSE)</f>
        <v>Napoli</v>
      </c>
      <c r="T124" s="32" t="str">
        <f>VLOOKUP($T$2,Form_PrimeiraFase!$C$2:$FB$69,118,FALSE)</f>
        <v>Napoli</v>
      </c>
      <c r="U124" s="32" t="str">
        <f>VLOOKUP($U$2,Form_PrimeiraFase!$C$2:$FB$69,118,FALSE)</f>
        <v>Napoli</v>
      </c>
      <c r="V124" s="32" t="str">
        <f>VLOOKUP($V$2,Form_PrimeiraFase!$C$2:$FB$69,118,FALSE)</f>
        <v>Copenhagen</v>
      </c>
      <c r="W124" s="32" t="str">
        <f>VLOOKUP($W$2,Form_PrimeiraFase!$C$2:$FB$69,118,FALSE)</f>
        <v>Napoli</v>
      </c>
      <c r="X124" s="33">
        <f t="shared" ref="X124:Y124" si="375">COUNTIF($C124:$W124,J124)</f>
        <v>4</v>
      </c>
      <c r="Y124" s="33">
        <f t="shared" si="375"/>
        <v>15</v>
      </c>
      <c r="Z124" s="33">
        <f t="shared" si="9"/>
        <v>4</v>
      </c>
      <c r="AA124" s="33">
        <f t="shared" si="10"/>
        <v>15</v>
      </c>
      <c r="AB124" s="33">
        <f t="shared" ref="AB124:AC124" si="376">COUNTIF($C124:$W124,N124)</f>
        <v>15</v>
      </c>
      <c r="AC124" s="33">
        <f t="shared" si="376"/>
        <v>2</v>
      </c>
      <c r="AD124" s="33">
        <f t="shared" si="12"/>
        <v>15</v>
      </c>
      <c r="AE124" s="33">
        <f t="shared" si="13"/>
        <v>2</v>
      </c>
      <c r="AF124" s="33">
        <f t="shared" si="14"/>
        <v>4</v>
      </c>
      <c r="AG124" s="33">
        <f t="shared" si="15"/>
        <v>15</v>
      </c>
      <c r="AH124" s="33">
        <f t="shared" si="16"/>
        <v>15</v>
      </c>
      <c r="AI124" s="33">
        <f t="shared" si="17"/>
        <v>15</v>
      </c>
      <c r="AJ124" s="33">
        <f t="shared" si="18"/>
        <v>15</v>
      </c>
      <c r="AK124" s="33">
        <f t="shared" si="19"/>
        <v>15</v>
      </c>
      <c r="AL124" s="33">
        <f t="shared" si="20"/>
        <v>15</v>
      </c>
      <c r="AM124" s="33">
        <f t="shared" si="21"/>
        <v>15</v>
      </c>
      <c r="AN124" s="33">
        <f t="shared" si="22"/>
        <v>15</v>
      </c>
      <c r="AO124" s="33">
        <f t="shared" ref="AO124:AR124" si="377">COUNTIF($C124:$W124,T124)</f>
        <v>15</v>
      </c>
      <c r="AP124" s="33">
        <f t="shared" si="377"/>
        <v>15</v>
      </c>
      <c r="AQ124" s="33">
        <f t="shared" si="377"/>
        <v>4</v>
      </c>
      <c r="AR124" s="33">
        <f t="shared" si="377"/>
        <v>15</v>
      </c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ht="12.75" customHeight="1">
      <c r="A125" s="30" t="s">
        <v>76</v>
      </c>
      <c r="B125" s="31" t="s">
        <v>42</v>
      </c>
      <c r="C125" s="32" t="str">
        <f>VLOOKUP($C$2,Form_PrimeiraFase!$C$2:$FB$69,119,FALSE)</f>
        <v>Atlético de Madrid</v>
      </c>
      <c r="D125" s="32" t="str">
        <f>VLOOKUP($D$2,Form_PrimeiraFase!$C$2:$FB$69,119,FALSE)</f>
        <v>Atlético de Madrid</v>
      </c>
      <c r="E125" s="32" t="str">
        <f>VLOOKUP($E$2,Form_PrimeiraFase!$C$2:$FB$69,119,FALSE)</f>
        <v>Atlético de Madrid</v>
      </c>
      <c r="F125" s="32" t="str">
        <f>VLOOKUP($F$2,Form_PrimeiraFase!$C$2:$FB$69,119,FALSE)</f>
        <v>Atlético de Madrid</v>
      </c>
      <c r="G125" s="32" t="str">
        <f>VLOOKUP($G$2,Form_PrimeiraFase!$C$2:$FB$69,119,FALSE)</f>
        <v>Empate</v>
      </c>
      <c r="H125" s="32" t="str">
        <f>VLOOKUP($H$2,Form_PrimeiraFase!$C$2:$FB$69,119,FALSE)</f>
        <v>Atlético de Madrid</v>
      </c>
      <c r="I125" s="32" t="str">
        <f>VLOOKUP($I$2,Form_PrimeiraFase!$C$2:$FB$69,119,FALSE)</f>
        <v>Atlético de Madrid</v>
      </c>
      <c r="J125" s="32" t="str">
        <f>VLOOKUP($J$2,Form_PrimeiraFase!$C$2:$FB$69,119,FALSE)</f>
        <v>Galatasaray</v>
      </c>
      <c r="K125" s="32" t="str">
        <f>VLOOKUP($K$2,Form_PrimeiraFase!$C$2:$FB$69,119,FALSE)</f>
        <v>Atlético de Madrid</v>
      </c>
      <c r="L125" s="32" t="str">
        <f>VLOOKUP($L$2,Form_PrimeiraFase!$C$2:$FB$69,119,FALSE)</f>
        <v>Atlético de Madrid</v>
      </c>
      <c r="M125" s="32" t="str">
        <f>VLOOKUP($M$2,Form_PrimeiraFase!$C$2:$FB$69,119,FALSE)</f>
        <v>Empate</v>
      </c>
      <c r="N125" s="32" t="str">
        <f>VLOOKUP($N$2,Form_PrimeiraFase!$C$2:$FB$69,119,FALSE)</f>
        <v>Atlético de Madrid</v>
      </c>
      <c r="O125" s="32" t="str">
        <f>VLOOKUP($O$2,Form_PrimeiraFase!$C$2:$FB$69,119,FALSE)</f>
        <v>Empate</v>
      </c>
      <c r="P125" s="32" t="str">
        <f>VLOOKUP($P$2,Form_PrimeiraFase!$C$2:$FB$69,119,FALSE)</f>
        <v>Atlético de Madrid</v>
      </c>
      <c r="Q125" s="32" t="str">
        <f>VLOOKUP($Q$2,Form_PrimeiraFase!$C$2:$FB$69,119,FALSE)</f>
        <v>Galatasaray</v>
      </c>
      <c r="R125" s="32" t="str">
        <f>VLOOKUP($R$2,Form_PrimeiraFase!$C$2:$FB$69,119,FALSE)</f>
        <v>Atlético de Madrid</v>
      </c>
      <c r="S125" s="32" t="str">
        <f>VLOOKUP($S$2,Form_PrimeiraFase!$C$2:$FB$69,119,FALSE)</f>
        <v>Atlético de Madrid</v>
      </c>
      <c r="T125" s="32" t="str">
        <f>VLOOKUP($T$2,Form_PrimeiraFase!$C$2:$FB$69,119,FALSE)</f>
        <v>Empate</v>
      </c>
      <c r="U125" s="32" t="str">
        <f>VLOOKUP($U$2,Form_PrimeiraFase!$C$2:$FB$69,119,FALSE)</f>
        <v>Atlético de Madrid</v>
      </c>
      <c r="V125" s="32" t="str">
        <f>VLOOKUP($V$2,Form_PrimeiraFase!$C$2:$FB$69,119,FALSE)</f>
        <v>Atlético de Madrid</v>
      </c>
      <c r="W125" s="32" t="str">
        <f>VLOOKUP($W$2,Form_PrimeiraFase!$C$2:$FB$69,119,FALSE)</f>
        <v>Atlético de Madrid</v>
      </c>
      <c r="X125" s="33">
        <f t="shared" ref="X125:Y125" si="378">COUNTIF($C125:$W125,J125)</f>
        <v>2</v>
      </c>
      <c r="Y125" s="33">
        <f t="shared" si="378"/>
        <v>15</v>
      </c>
      <c r="Z125" s="33">
        <f t="shared" si="9"/>
        <v>15</v>
      </c>
      <c r="AA125" s="33">
        <f t="shared" si="10"/>
        <v>15</v>
      </c>
      <c r="AB125" s="33">
        <f t="shared" ref="AB125:AC125" si="379">COUNTIF($C125:$W125,N125)</f>
        <v>15</v>
      </c>
      <c r="AC125" s="33">
        <f t="shared" si="379"/>
        <v>4</v>
      </c>
      <c r="AD125" s="33">
        <f t="shared" si="12"/>
        <v>4</v>
      </c>
      <c r="AE125" s="33">
        <f t="shared" si="13"/>
        <v>15</v>
      </c>
      <c r="AF125" s="33">
        <f t="shared" si="14"/>
        <v>15</v>
      </c>
      <c r="AG125" s="33">
        <f t="shared" si="15"/>
        <v>15</v>
      </c>
      <c r="AH125" s="33">
        <f t="shared" si="16"/>
        <v>15</v>
      </c>
      <c r="AI125" s="33">
        <f t="shared" si="17"/>
        <v>15</v>
      </c>
      <c r="AJ125" s="33">
        <f t="shared" si="18"/>
        <v>4</v>
      </c>
      <c r="AK125" s="33">
        <f t="shared" si="19"/>
        <v>15</v>
      </c>
      <c r="AL125" s="33">
        <f t="shared" si="20"/>
        <v>2</v>
      </c>
      <c r="AM125" s="33">
        <f t="shared" si="21"/>
        <v>15</v>
      </c>
      <c r="AN125" s="33">
        <f t="shared" si="22"/>
        <v>15</v>
      </c>
      <c r="AO125" s="33">
        <f t="shared" ref="AO125:AR125" si="380">COUNTIF($C125:$W125,T125)</f>
        <v>4</v>
      </c>
      <c r="AP125" s="33">
        <f t="shared" si="380"/>
        <v>15</v>
      </c>
      <c r="AQ125" s="33">
        <f t="shared" si="380"/>
        <v>15</v>
      </c>
      <c r="AR125" s="33">
        <f t="shared" si="380"/>
        <v>15</v>
      </c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ht="12.75" customHeight="1">
      <c r="A126" s="30" t="s">
        <v>76</v>
      </c>
      <c r="B126" s="31" t="s">
        <v>41</v>
      </c>
      <c r="C126" s="32" t="str">
        <f>VLOOKUP($C$2,Form_PrimeiraFase!$C$2:$FB$69,120,FALSE)</f>
        <v>Eintracht Frankfurt</v>
      </c>
      <c r="D126" s="32" t="str">
        <f>VLOOKUP($D$2,Form_PrimeiraFase!$C$2:$FB$69,120,FALSE)</f>
        <v>Eintracht Frankfurt</v>
      </c>
      <c r="E126" s="32" t="str">
        <f>VLOOKUP($E$2,Form_PrimeiraFase!$C$2:$FB$69,120,FALSE)</f>
        <v>Eintracht Frankfurt</v>
      </c>
      <c r="F126" s="32" t="str">
        <f>VLOOKUP($F$2,Form_PrimeiraFase!$C$2:$FB$69,120,FALSE)</f>
        <v>Eintracht Frankfurt</v>
      </c>
      <c r="G126" s="32" t="str">
        <f>VLOOKUP($G$2,Form_PrimeiraFase!$C$2:$FB$69,120,FALSE)</f>
        <v>Eintracht Frankfurt</v>
      </c>
      <c r="H126" s="32" t="str">
        <f>VLOOKUP($H$2,Form_PrimeiraFase!$C$2:$FB$69,120,FALSE)</f>
        <v>Eintracht Frankfurt</v>
      </c>
      <c r="I126" s="32" t="str">
        <f>VLOOKUP($I$2,Form_PrimeiraFase!$C$2:$FB$69,120,FALSE)</f>
        <v>Eintracht Frankfurt</v>
      </c>
      <c r="J126" s="32" t="str">
        <f>VLOOKUP($J$2,Form_PrimeiraFase!$C$2:$FB$69,120,FALSE)</f>
        <v>Eintracht Frankfurt</v>
      </c>
      <c r="K126" s="32" t="str">
        <f>VLOOKUP($K$2,Form_PrimeiraFase!$C$2:$FB$69,120,FALSE)</f>
        <v>Qarabag</v>
      </c>
      <c r="L126" s="32" t="str">
        <f>VLOOKUP($L$2,Form_PrimeiraFase!$C$2:$FB$69,120,FALSE)</f>
        <v>Eintracht Frankfurt</v>
      </c>
      <c r="M126" s="32" t="str">
        <f>VLOOKUP($M$2,Form_PrimeiraFase!$C$2:$FB$69,120,FALSE)</f>
        <v>Eintracht Frankfurt</v>
      </c>
      <c r="N126" s="32" t="str">
        <f>VLOOKUP($N$2,Form_PrimeiraFase!$C$2:$FB$69,120,FALSE)</f>
        <v>Eintracht Frankfurt</v>
      </c>
      <c r="O126" s="32" t="str">
        <f>VLOOKUP($O$2,Form_PrimeiraFase!$C$2:$FB$69,120,FALSE)</f>
        <v>Eintracht Frankfurt</v>
      </c>
      <c r="P126" s="32" t="str">
        <f>VLOOKUP($P$2,Form_PrimeiraFase!$C$2:$FB$69,120,FALSE)</f>
        <v>Eintracht Frankfurt</v>
      </c>
      <c r="Q126" s="32" t="str">
        <f>VLOOKUP($Q$2,Form_PrimeiraFase!$C$2:$FB$69,120,FALSE)</f>
        <v>Eintracht Frankfurt</v>
      </c>
      <c r="R126" s="32" t="str">
        <f>VLOOKUP($R$2,Form_PrimeiraFase!$C$2:$FB$69,120,FALSE)</f>
        <v>Empate</v>
      </c>
      <c r="S126" s="32" t="str">
        <f>VLOOKUP($S$2,Form_PrimeiraFase!$C$2:$FB$69,120,FALSE)</f>
        <v>Empate</v>
      </c>
      <c r="T126" s="32" t="str">
        <f>VLOOKUP($T$2,Form_PrimeiraFase!$C$2:$FB$69,120,FALSE)</f>
        <v>Eintracht Frankfurt</v>
      </c>
      <c r="U126" s="32" t="str">
        <f>VLOOKUP($U$2,Form_PrimeiraFase!$C$2:$FB$69,120,FALSE)</f>
        <v>Empate</v>
      </c>
      <c r="V126" s="32" t="str">
        <f>VLOOKUP($V$2,Form_PrimeiraFase!$C$2:$FB$69,120,FALSE)</f>
        <v>Empate</v>
      </c>
      <c r="W126" s="32" t="str">
        <f>VLOOKUP($W$2,Form_PrimeiraFase!$C$2:$FB$69,120,FALSE)</f>
        <v>Eintracht Frankfurt</v>
      </c>
      <c r="X126" s="33">
        <f t="shared" ref="X126:Y126" si="381">COUNTIF($C126:$W126,J126)</f>
        <v>16</v>
      </c>
      <c r="Y126" s="33">
        <f t="shared" si="381"/>
        <v>1</v>
      </c>
      <c r="Z126" s="33">
        <f t="shared" si="9"/>
        <v>4</v>
      </c>
      <c r="AA126" s="33">
        <f t="shared" si="10"/>
        <v>16</v>
      </c>
      <c r="AB126" s="33">
        <f t="shared" ref="AB126:AC126" si="382">COUNTIF($C126:$W126,N126)</f>
        <v>16</v>
      </c>
      <c r="AC126" s="33">
        <f t="shared" si="382"/>
        <v>16</v>
      </c>
      <c r="AD126" s="33">
        <f t="shared" si="12"/>
        <v>16</v>
      </c>
      <c r="AE126" s="33">
        <f t="shared" si="13"/>
        <v>16</v>
      </c>
      <c r="AF126" s="33">
        <f t="shared" si="14"/>
        <v>16</v>
      </c>
      <c r="AG126" s="33">
        <f t="shared" si="15"/>
        <v>4</v>
      </c>
      <c r="AH126" s="33">
        <f t="shared" si="16"/>
        <v>16</v>
      </c>
      <c r="AI126" s="33">
        <f t="shared" si="17"/>
        <v>16</v>
      </c>
      <c r="AJ126" s="33">
        <f t="shared" si="18"/>
        <v>16</v>
      </c>
      <c r="AK126" s="33">
        <f t="shared" si="19"/>
        <v>16</v>
      </c>
      <c r="AL126" s="33">
        <f t="shared" si="20"/>
        <v>16</v>
      </c>
      <c r="AM126" s="33">
        <f t="shared" si="21"/>
        <v>16</v>
      </c>
      <c r="AN126" s="33">
        <f t="shared" si="22"/>
        <v>16</v>
      </c>
      <c r="AO126" s="33">
        <f t="shared" ref="AO126:AR126" si="383">COUNTIF($C126:$W126,T126)</f>
        <v>16</v>
      </c>
      <c r="AP126" s="33">
        <f t="shared" si="383"/>
        <v>4</v>
      </c>
      <c r="AQ126" s="33">
        <f t="shared" si="383"/>
        <v>4</v>
      </c>
      <c r="AR126" s="33">
        <f t="shared" si="383"/>
        <v>16</v>
      </c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ht="12.75" customHeight="1">
      <c r="A127" s="30" t="s">
        <v>76</v>
      </c>
      <c r="B127" s="31" t="s">
        <v>55</v>
      </c>
      <c r="C127" s="32" t="str">
        <f>VLOOKUP($C$2,Form_PrimeiraFase!$C$2:$FB$69,121,FALSE)</f>
        <v>Chelsea</v>
      </c>
      <c r="D127" s="32" t="str">
        <f>VLOOKUP($D$2,Form_PrimeiraFase!$C$2:$FB$69,121,FALSE)</f>
        <v>Chelsea</v>
      </c>
      <c r="E127" s="32" t="str">
        <f>VLOOKUP($E$2,Form_PrimeiraFase!$C$2:$FB$69,121,FALSE)</f>
        <v>Chelsea</v>
      </c>
      <c r="F127" s="32" t="str">
        <f>VLOOKUP($F$2,Form_PrimeiraFase!$C$2:$FB$69,121,FALSE)</f>
        <v>Chelsea</v>
      </c>
      <c r="G127" s="32" t="str">
        <f>VLOOKUP($G$2,Form_PrimeiraFase!$C$2:$FB$69,121,FALSE)</f>
        <v>Chelsea</v>
      </c>
      <c r="H127" s="32" t="str">
        <f>VLOOKUP($H$2,Form_PrimeiraFase!$C$2:$FB$69,121,FALSE)</f>
        <v>Chelsea</v>
      </c>
      <c r="I127" s="32" t="str">
        <f>VLOOKUP($I$2,Form_PrimeiraFase!$C$2:$FB$69,121,FALSE)</f>
        <v>Chelsea</v>
      </c>
      <c r="J127" s="32" t="str">
        <f>VLOOKUP($J$2,Form_PrimeiraFase!$C$2:$FB$69,121,FALSE)</f>
        <v>Chelsea</v>
      </c>
      <c r="K127" s="32" t="str">
        <f>VLOOKUP($K$2,Form_PrimeiraFase!$C$2:$FB$69,121,FALSE)</f>
        <v>Chelsea</v>
      </c>
      <c r="L127" s="32" t="str">
        <f>VLOOKUP($L$2,Form_PrimeiraFase!$C$2:$FB$69,121,FALSE)</f>
        <v>Chelsea</v>
      </c>
      <c r="M127" s="32" t="str">
        <f>VLOOKUP($M$2,Form_PrimeiraFase!$C$2:$FB$69,121,FALSE)</f>
        <v>Chelsea</v>
      </c>
      <c r="N127" s="32" t="str">
        <f>VLOOKUP($N$2,Form_PrimeiraFase!$C$2:$FB$69,121,FALSE)</f>
        <v>Chelsea</v>
      </c>
      <c r="O127" s="32" t="str">
        <f>VLOOKUP($O$2,Form_PrimeiraFase!$C$2:$FB$69,121,FALSE)</f>
        <v>Chelsea</v>
      </c>
      <c r="P127" s="32" t="str">
        <f>VLOOKUP($P$2,Form_PrimeiraFase!$C$2:$FB$69,121,FALSE)</f>
        <v>Chelsea</v>
      </c>
      <c r="Q127" s="32" t="str">
        <f>VLOOKUP($Q$2,Form_PrimeiraFase!$C$2:$FB$69,121,FALSE)</f>
        <v>Chelsea</v>
      </c>
      <c r="R127" s="32" t="str">
        <f>VLOOKUP($R$2,Form_PrimeiraFase!$C$2:$FB$69,121,FALSE)</f>
        <v>Chelsea</v>
      </c>
      <c r="S127" s="32" t="str">
        <f>VLOOKUP($S$2,Form_PrimeiraFase!$C$2:$FB$69,121,FALSE)</f>
        <v>Chelsea</v>
      </c>
      <c r="T127" s="32" t="str">
        <f>VLOOKUP($T$2,Form_PrimeiraFase!$C$2:$FB$69,121,FALSE)</f>
        <v>Chelsea</v>
      </c>
      <c r="U127" s="32" t="str">
        <f>VLOOKUP($U$2,Form_PrimeiraFase!$C$2:$FB$69,121,FALSE)</f>
        <v>Chelsea</v>
      </c>
      <c r="V127" s="32" t="str">
        <f>VLOOKUP($V$2,Form_PrimeiraFase!$C$2:$FB$69,121,FALSE)</f>
        <v>Chelsea</v>
      </c>
      <c r="W127" s="32" t="str">
        <f>VLOOKUP($W$2,Form_PrimeiraFase!$C$2:$FB$69,121,FALSE)</f>
        <v>Chelsea</v>
      </c>
      <c r="X127" s="33">
        <f t="shared" ref="X127:Y127" si="384">COUNTIF($C127:$W127,J127)</f>
        <v>21</v>
      </c>
      <c r="Y127" s="33">
        <f t="shared" si="384"/>
        <v>21</v>
      </c>
      <c r="Z127" s="33">
        <f t="shared" si="9"/>
        <v>21</v>
      </c>
      <c r="AA127" s="33">
        <f t="shared" si="10"/>
        <v>21</v>
      </c>
      <c r="AB127" s="33">
        <f t="shared" ref="AB127:AC127" si="385">COUNTIF($C127:$W127,N127)</f>
        <v>21</v>
      </c>
      <c r="AC127" s="33">
        <f t="shared" si="385"/>
        <v>21</v>
      </c>
      <c r="AD127" s="33">
        <f t="shared" si="12"/>
        <v>21</v>
      </c>
      <c r="AE127" s="33">
        <f t="shared" si="13"/>
        <v>21</v>
      </c>
      <c r="AF127" s="33">
        <f t="shared" si="14"/>
        <v>21</v>
      </c>
      <c r="AG127" s="33">
        <f t="shared" si="15"/>
        <v>21</v>
      </c>
      <c r="AH127" s="33">
        <f t="shared" si="16"/>
        <v>21</v>
      </c>
      <c r="AI127" s="33">
        <f t="shared" si="17"/>
        <v>21</v>
      </c>
      <c r="AJ127" s="33">
        <f t="shared" si="18"/>
        <v>21</v>
      </c>
      <c r="AK127" s="33">
        <f t="shared" si="19"/>
        <v>21</v>
      </c>
      <c r="AL127" s="33">
        <f t="shared" si="20"/>
        <v>21</v>
      </c>
      <c r="AM127" s="33">
        <f t="shared" si="21"/>
        <v>21</v>
      </c>
      <c r="AN127" s="33">
        <f t="shared" si="22"/>
        <v>21</v>
      </c>
      <c r="AO127" s="33">
        <f t="shared" ref="AO127:AR127" si="386">COUNTIF($C127:$W127,T127)</f>
        <v>21</v>
      </c>
      <c r="AP127" s="33">
        <f t="shared" si="386"/>
        <v>21</v>
      </c>
      <c r="AQ127" s="33">
        <f t="shared" si="386"/>
        <v>21</v>
      </c>
      <c r="AR127" s="33">
        <f t="shared" si="386"/>
        <v>21</v>
      </c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ht="12.75" customHeight="1">
      <c r="A128" s="30" t="s">
        <v>76</v>
      </c>
      <c r="B128" s="31" t="s">
        <v>64</v>
      </c>
      <c r="C128" s="32" t="str">
        <f>VLOOKUP($C$2,Form_PrimeiraFase!$C$2:$FB$69,122,FALSE)</f>
        <v>Empate</v>
      </c>
      <c r="D128" s="32" t="str">
        <f>VLOOKUP($D$2,Form_PrimeiraFase!$C$2:$FB$69,122,FALSE)</f>
        <v>Atalanta</v>
      </c>
      <c r="E128" s="32" t="str">
        <f>VLOOKUP($E$2,Form_PrimeiraFase!$C$2:$FB$69,122,FALSE)</f>
        <v>Athletic Bilbao</v>
      </c>
      <c r="F128" s="32" t="str">
        <f>VLOOKUP($F$2,Form_PrimeiraFase!$C$2:$FB$69,122,FALSE)</f>
        <v>Atalanta</v>
      </c>
      <c r="G128" s="32" t="str">
        <f>VLOOKUP($G$2,Form_PrimeiraFase!$C$2:$FB$69,122,FALSE)</f>
        <v>Atalanta</v>
      </c>
      <c r="H128" s="32" t="str">
        <f>VLOOKUP($H$2,Form_PrimeiraFase!$C$2:$FB$69,122,FALSE)</f>
        <v>Atalanta</v>
      </c>
      <c r="I128" s="32" t="str">
        <f>VLOOKUP($I$2,Form_PrimeiraFase!$C$2:$FB$69,122,FALSE)</f>
        <v>Atalanta</v>
      </c>
      <c r="J128" s="32" t="str">
        <f>VLOOKUP($J$2,Form_PrimeiraFase!$C$2:$FB$69,122,FALSE)</f>
        <v>Atalanta</v>
      </c>
      <c r="K128" s="32" t="str">
        <f>VLOOKUP($K$2,Form_PrimeiraFase!$C$2:$FB$69,122,FALSE)</f>
        <v>Athletic Bilbao</v>
      </c>
      <c r="L128" s="32" t="str">
        <f>VLOOKUP($L$2,Form_PrimeiraFase!$C$2:$FB$69,122,FALSE)</f>
        <v>Atalanta</v>
      </c>
      <c r="M128" s="32" t="str">
        <f>VLOOKUP($M$2,Form_PrimeiraFase!$C$2:$FB$69,122,FALSE)</f>
        <v>Atalanta</v>
      </c>
      <c r="N128" s="32" t="str">
        <f>VLOOKUP($N$2,Form_PrimeiraFase!$C$2:$FB$69,122,FALSE)</f>
        <v>Atalanta</v>
      </c>
      <c r="O128" s="32" t="str">
        <f>VLOOKUP($O$2,Form_PrimeiraFase!$C$2:$FB$69,122,FALSE)</f>
        <v>Atalanta</v>
      </c>
      <c r="P128" s="32" t="str">
        <f>VLOOKUP($P$2,Form_PrimeiraFase!$C$2:$FB$69,122,FALSE)</f>
        <v>Atalanta</v>
      </c>
      <c r="Q128" s="32" t="str">
        <f>VLOOKUP($Q$2,Form_PrimeiraFase!$C$2:$FB$69,122,FALSE)</f>
        <v>Atalanta</v>
      </c>
      <c r="R128" s="32" t="str">
        <f>VLOOKUP($R$2,Form_PrimeiraFase!$C$2:$FB$69,122,FALSE)</f>
        <v>Atalanta</v>
      </c>
      <c r="S128" s="32" t="str">
        <f>VLOOKUP($S$2,Form_PrimeiraFase!$C$2:$FB$69,122,FALSE)</f>
        <v>Atalanta</v>
      </c>
      <c r="T128" s="32" t="str">
        <f>VLOOKUP($T$2,Form_PrimeiraFase!$C$2:$FB$69,122,FALSE)</f>
        <v>Atalanta</v>
      </c>
      <c r="U128" s="32" t="str">
        <f>VLOOKUP($U$2,Form_PrimeiraFase!$C$2:$FB$69,122,FALSE)</f>
        <v>Atalanta</v>
      </c>
      <c r="V128" s="32" t="str">
        <f>VLOOKUP($V$2,Form_PrimeiraFase!$C$2:$FB$69,122,FALSE)</f>
        <v>Athletic Bilbao</v>
      </c>
      <c r="W128" s="32" t="str">
        <f>VLOOKUP($W$2,Form_PrimeiraFase!$C$2:$FB$69,122,FALSE)</f>
        <v>Atalanta</v>
      </c>
      <c r="X128" s="33">
        <f t="shared" ref="X128:Y128" si="387">COUNTIF($C128:$W128,J128)</f>
        <v>17</v>
      </c>
      <c r="Y128" s="33">
        <f t="shared" si="387"/>
        <v>3</v>
      </c>
      <c r="Z128" s="33">
        <f t="shared" si="9"/>
        <v>17</v>
      </c>
      <c r="AA128" s="33">
        <f t="shared" si="10"/>
        <v>17</v>
      </c>
      <c r="AB128" s="33">
        <f t="shared" ref="AB128:AC128" si="388">COUNTIF($C128:$W128,N128)</f>
        <v>17</v>
      </c>
      <c r="AC128" s="33">
        <f t="shared" si="388"/>
        <v>17</v>
      </c>
      <c r="AD128" s="33">
        <f t="shared" si="12"/>
        <v>17</v>
      </c>
      <c r="AE128" s="33">
        <f t="shared" si="13"/>
        <v>17</v>
      </c>
      <c r="AF128" s="33">
        <f t="shared" si="14"/>
        <v>3</v>
      </c>
      <c r="AG128" s="33">
        <f t="shared" si="15"/>
        <v>17</v>
      </c>
      <c r="AH128" s="33">
        <f t="shared" si="16"/>
        <v>1</v>
      </c>
      <c r="AI128" s="33">
        <f t="shared" si="17"/>
        <v>17</v>
      </c>
      <c r="AJ128" s="33">
        <f t="shared" si="18"/>
        <v>17</v>
      </c>
      <c r="AK128" s="33">
        <f t="shared" si="19"/>
        <v>17</v>
      </c>
      <c r="AL128" s="33">
        <f t="shared" si="20"/>
        <v>17</v>
      </c>
      <c r="AM128" s="33">
        <f t="shared" si="21"/>
        <v>17</v>
      </c>
      <c r="AN128" s="33">
        <f t="shared" si="22"/>
        <v>17</v>
      </c>
      <c r="AO128" s="33">
        <f t="shared" ref="AO128:AR128" si="389">COUNTIF($C128:$W128,T128)</f>
        <v>17</v>
      </c>
      <c r="AP128" s="33">
        <f t="shared" si="389"/>
        <v>17</v>
      </c>
      <c r="AQ128" s="33">
        <f t="shared" si="389"/>
        <v>3</v>
      </c>
      <c r="AR128" s="33">
        <f t="shared" si="389"/>
        <v>17</v>
      </c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ht="12.75" customHeight="1">
      <c r="A129" s="30" t="s">
        <v>76</v>
      </c>
      <c r="B129" s="31" t="s">
        <v>71</v>
      </c>
      <c r="C129" s="32" t="str">
        <f>VLOOKUP($C$2,Form_PrimeiraFase!$C$2:$FB$69,123,FALSE)</f>
        <v>Juventus</v>
      </c>
      <c r="D129" s="32" t="str">
        <f>VLOOKUP($D$2,Form_PrimeiraFase!$C$2:$FB$69,123,FALSE)</f>
        <v>Juventus</v>
      </c>
      <c r="E129" s="32" t="str">
        <f>VLOOKUP($E$2,Form_PrimeiraFase!$C$2:$FB$69,123,FALSE)</f>
        <v>Juventus</v>
      </c>
      <c r="F129" s="32" t="str">
        <f>VLOOKUP($F$2,Form_PrimeiraFase!$C$2:$FB$69,123,FALSE)</f>
        <v>Juventus</v>
      </c>
      <c r="G129" s="32" t="str">
        <f>VLOOKUP($G$2,Form_PrimeiraFase!$C$2:$FB$69,123,FALSE)</f>
        <v>Juventus</v>
      </c>
      <c r="H129" s="32" t="str">
        <f>VLOOKUP($H$2,Form_PrimeiraFase!$C$2:$FB$69,123,FALSE)</f>
        <v>Juventus</v>
      </c>
      <c r="I129" s="32" t="str">
        <f>VLOOKUP($I$2,Form_PrimeiraFase!$C$2:$FB$69,123,FALSE)</f>
        <v>Juventus</v>
      </c>
      <c r="J129" s="32" t="str">
        <f>VLOOKUP($J$2,Form_PrimeiraFase!$C$2:$FB$69,123,FALSE)</f>
        <v>Juventus</v>
      </c>
      <c r="K129" s="32" t="str">
        <f>VLOOKUP($K$2,Form_PrimeiraFase!$C$2:$FB$69,123,FALSE)</f>
        <v>Juventus</v>
      </c>
      <c r="L129" s="32" t="str">
        <f>VLOOKUP($L$2,Form_PrimeiraFase!$C$2:$FB$69,123,FALSE)</f>
        <v>Juventus</v>
      </c>
      <c r="M129" s="32" t="str">
        <f>VLOOKUP($M$2,Form_PrimeiraFase!$C$2:$FB$69,123,FALSE)</f>
        <v>Juventus</v>
      </c>
      <c r="N129" s="32" t="str">
        <f>VLOOKUP($N$2,Form_PrimeiraFase!$C$2:$FB$69,123,FALSE)</f>
        <v>Juventus</v>
      </c>
      <c r="O129" s="32" t="str">
        <f>VLOOKUP($O$2,Form_PrimeiraFase!$C$2:$FB$69,123,FALSE)</f>
        <v>Juventus</v>
      </c>
      <c r="P129" s="32" t="str">
        <f>VLOOKUP($P$2,Form_PrimeiraFase!$C$2:$FB$69,123,FALSE)</f>
        <v>Juventus</v>
      </c>
      <c r="Q129" s="32" t="str">
        <f>VLOOKUP($Q$2,Form_PrimeiraFase!$C$2:$FB$69,123,FALSE)</f>
        <v>Juventus</v>
      </c>
      <c r="R129" s="32" t="str">
        <f>VLOOKUP($R$2,Form_PrimeiraFase!$C$2:$FB$69,123,FALSE)</f>
        <v>Juventus</v>
      </c>
      <c r="S129" s="32" t="str">
        <f>VLOOKUP($S$2,Form_PrimeiraFase!$C$2:$FB$69,123,FALSE)</f>
        <v>Juventus</v>
      </c>
      <c r="T129" s="32" t="str">
        <f>VLOOKUP($T$2,Form_PrimeiraFase!$C$2:$FB$69,123,FALSE)</f>
        <v>Juventus</v>
      </c>
      <c r="U129" s="32" t="str">
        <f>VLOOKUP($U$2,Form_PrimeiraFase!$C$2:$FB$69,123,FALSE)</f>
        <v>Juventus</v>
      </c>
      <c r="V129" s="32" t="str">
        <f>VLOOKUP($V$2,Form_PrimeiraFase!$C$2:$FB$69,123,FALSE)</f>
        <v>Benfica</v>
      </c>
      <c r="W129" s="32" t="str">
        <f>VLOOKUP($W$2,Form_PrimeiraFase!$C$2:$FB$69,123,FALSE)</f>
        <v>Juventus</v>
      </c>
      <c r="X129" s="33">
        <f t="shared" ref="X129:Y129" si="390">COUNTIF($C129:$W129,J129)</f>
        <v>20</v>
      </c>
      <c r="Y129" s="33">
        <f t="shared" si="390"/>
        <v>20</v>
      </c>
      <c r="Z129" s="33">
        <f t="shared" si="9"/>
        <v>20</v>
      </c>
      <c r="AA129" s="33">
        <f t="shared" si="10"/>
        <v>20</v>
      </c>
      <c r="AB129" s="33">
        <f t="shared" ref="AB129:AC129" si="391">COUNTIF($C129:$W129,N129)</f>
        <v>20</v>
      </c>
      <c r="AC129" s="33">
        <f t="shared" si="391"/>
        <v>20</v>
      </c>
      <c r="AD129" s="33">
        <f t="shared" si="12"/>
        <v>20</v>
      </c>
      <c r="AE129" s="33">
        <f t="shared" si="13"/>
        <v>20</v>
      </c>
      <c r="AF129" s="33">
        <f t="shared" si="14"/>
        <v>20</v>
      </c>
      <c r="AG129" s="33">
        <f t="shared" si="15"/>
        <v>20</v>
      </c>
      <c r="AH129" s="33">
        <f t="shared" si="16"/>
        <v>20</v>
      </c>
      <c r="AI129" s="33">
        <f t="shared" si="17"/>
        <v>20</v>
      </c>
      <c r="AJ129" s="33">
        <f t="shared" si="18"/>
        <v>20</v>
      </c>
      <c r="AK129" s="33">
        <f t="shared" si="19"/>
        <v>20</v>
      </c>
      <c r="AL129" s="33">
        <f t="shared" si="20"/>
        <v>20</v>
      </c>
      <c r="AM129" s="33">
        <f t="shared" si="21"/>
        <v>20</v>
      </c>
      <c r="AN129" s="33">
        <f t="shared" si="22"/>
        <v>20</v>
      </c>
      <c r="AO129" s="33">
        <f t="shared" ref="AO129:AR129" si="392">COUNTIF($C129:$W129,T129)</f>
        <v>20</v>
      </c>
      <c r="AP129" s="33">
        <f t="shared" si="392"/>
        <v>20</v>
      </c>
      <c r="AQ129" s="33">
        <f t="shared" si="392"/>
        <v>1</v>
      </c>
      <c r="AR129" s="33">
        <f t="shared" si="392"/>
        <v>20</v>
      </c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ht="12.75" customHeight="1">
      <c r="A130" s="30" t="s">
        <v>76</v>
      </c>
      <c r="B130" s="31" t="s">
        <v>52</v>
      </c>
      <c r="C130" s="32" t="str">
        <f>VLOOKUP($C$2,Form_PrimeiraFase!$C$2:$FB$69,124,FALSE)</f>
        <v>Barcelona</v>
      </c>
      <c r="D130" s="32" t="str">
        <f>VLOOKUP($D$2,Form_PrimeiraFase!$C$2:$FB$69,124,FALSE)</f>
        <v>Barcelona</v>
      </c>
      <c r="E130" s="32" t="str">
        <f>VLOOKUP($E$2,Form_PrimeiraFase!$C$2:$FB$69,124,FALSE)</f>
        <v>Barcelona</v>
      </c>
      <c r="F130" s="32" t="str">
        <f>VLOOKUP($F$2,Form_PrimeiraFase!$C$2:$FB$69,124,FALSE)</f>
        <v>Barcelona</v>
      </c>
      <c r="G130" s="32" t="str">
        <f>VLOOKUP($G$2,Form_PrimeiraFase!$C$2:$FB$69,124,FALSE)</f>
        <v>Barcelona</v>
      </c>
      <c r="H130" s="32" t="str">
        <f>VLOOKUP($H$2,Form_PrimeiraFase!$C$2:$FB$69,124,FALSE)</f>
        <v>Barcelona</v>
      </c>
      <c r="I130" s="32" t="str">
        <f>VLOOKUP($I$2,Form_PrimeiraFase!$C$2:$FB$69,124,FALSE)</f>
        <v>Barcelona</v>
      </c>
      <c r="J130" s="32" t="str">
        <f>VLOOKUP($J$2,Form_PrimeiraFase!$C$2:$FB$69,124,FALSE)</f>
        <v>Barcelona</v>
      </c>
      <c r="K130" s="32" t="str">
        <f>VLOOKUP($K$2,Form_PrimeiraFase!$C$2:$FB$69,124,FALSE)</f>
        <v>Barcelona</v>
      </c>
      <c r="L130" s="32" t="str">
        <f>VLOOKUP($L$2,Form_PrimeiraFase!$C$2:$FB$69,124,FALSE)</f>
        <v>Barcelona</v>
      </c>
      <c r="M130" s="32" t="str">
        <f>VLOOKUP($M$2,Form_PrimeiraFase!$C$2:$FB$69,124,FALSE)</f>
        <v>Barcelona</v>
      </c>
      <c r="N130" s="32" t="str">
        <f>VLOOKUP($N$2,Form_PrimeiraFase!$C$2:$FB$69,124,FALSE)</f>
        <v>Barcelona</v>
      </c>
      <c r="O130" s="32" t="str">
        <f>VLOOKUP($O$2,Form_PrimeiraFase!$C$2:$FB$69,124,FALSE)</f>
        <v>Barcelona</v>
      </c>
      <c r="P130" s="32" t="str">
        <f>VLOOKUP($P$2,Form_PrimeiraFase!$C$2:$FB$69,124,FALSE)</f>
        <v>Barcelona</v>
      </c>
      <c r="Q130" s="32" t="str">
        <f>VLOOKUP($Q$2,Form_PrimeiraFase!$C$2:$FB$69,124,FALSE)</f>
        <v>Barcelona</v>
      </c>
      <c r="R130" s="32" t="str">
        <f>VLOOKUP($R$2,Form_PrimeiraFase!$C$2:$FB$69,124,FALSE)</f>
        <v>Barcelona</v>
      </c>
      <c r="S130" s="32" t="str">
        <f>VLOOKUP($S$2,Form_PrimeiraFase!$C$2:$FB$69,124,FALSE)</f>
        <v>Barcelona</v>
      </c>
      <c r="T130" s="32" t="str">
        <f>VLOOKUP($T$2,Form_PrimeiraFase!$C$2:$FB$69,124,FALSE)</f>
        <v>Barcelona</v>
      </c>
      <c r="U130" s="32" t="str">
        <f>VLOOKUP($U$2,Form_PrimeiraFase!$C$2:$FB$69,124,FALSE)</f>
        <v>Barcelona</v>
      </c>
      <c r="V130" s="32" t="str">
        <f>VLOOKUP($V$2,Form_PrimeiraFase!$C$2:$FB$69,124,FALSE)</f>
        <v>Barcelona</v>
      </c>
      <c r="W130" s="32" t="str">
        <f>VLOOKUP($W$2,Form_PrimeiraFase!$C$2:$FB$69,124,FALSE)</f>
        <v>Barcelona</v>
      </c>
      <c r="X130" s="33">
        <f t="shared" ref="X130:Y130" si="393">COUNTIF($C130:$W130,J130)</f>
        <v>21</v>
      </c>
      <c r="Y130" s="33">
        <f t="shared" si="393"/>
        <v>21</v>
      </c>
      <c r="Z130" s="33">
        <f t="shared" si="9"/>
        <v>21</v>
      </c>
      <c r="AA130" s="33">
        <f t="shared" si="10"/>
        <v>21</v>
      </c>
      <c r="AB130" s="33">
        <f t="shared" ref="AB130:AC130" si="394">COUNTIF($C130:$W130,N130)</f>
        <v>21</v>
      </c>
      <c r="AC130" s="33">
        <f t="shared" si="394"/>
        <v>21</v>
      </c>
      <c r="AD130" s="33">
        <f t="shared" si="12"/>
        <v>21</v>
      </c>
      <c r="AE130" s="33">
        <f t="shared" si="13"/>
        <v>21</v>
      </c>
      <c r="AF130" s="33">
        <f t="shared" si="14"/>
        <v>21</v>
      </c>
      <c r="AG130" s="33">
        <f t="shared" si="15"/>
        <v>21</v>
      </c>
      <c r="AH130" s="33">
        <f t="shared" si="16"/>
        <v>21</v>
      </c>
      <c r="AI130" s="33">
        <f t="shared" si="17"/>
        <v>21</v>
      </c>
      <c r="AJ130" s="33">
        <f t="shared" si="18"/>
        <v>21</v>
      </c>
      <c r="AK130" s="33">
        <f t="shared" si="19"/>
        <v>21</v>
      </c>
      <c r="AL130" s="33">
        <f t="shared" si="20"/>
        <v>21</v>
      </c>
      <c r="AM130" s="33">
        <f t="shared" si="21"/>
        <v>21</v>
      </c>
      <c r="AN130" s="33">
        <f t="shared" si="22"/>
        <v>21</v>
      </c>
      <c r="AO130" s="33">
        <f t="shared" ref="AO130:AR130" si="395">COUNTIF($C130:$W130,T130)</f>
        <v>21</v>
      </c>
      <c r="AP130" s="33">
        <f t="shared" si="395"/>
        <v>21</v>
      </c>
      <c r="AQ130" s="33">
        <f t="shared" si="395"/>
        <v>21</v>
      </c>
      <c r="AR130" s="33">
        <f t="shared" si="395"/>
        <v>21</v>
      </c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ht="12.75" customHeight="1">
      <c r="A131" s="30" t="s">
        <v>76</v>
      </c>
      <c r="B131" s="31" t="s">
        <v>46</v>
      </c>
      <c r="C131" s="32" t="str">
        <f>VLOOKUP($C$2,Form_PrimeiraFase!$C$2:$FB$69,125,FALSE)</f>
        <v>Liverpool</v>
      </c>
      <c r="D131" s="32" t="str">
        <f>VLOOKUP($D$2,Form_PrimeiraFase!$C$2:$FB$69,125,FALSE)</f>
        <v>Liverpool</v>
      </c>
      <c r="E131" s="32" t="str">
        <f>VLOOKUP($E$2,Form_PrimeiraFase!$C$2:$FB$69,125,FALSE)</f>
        <v>Liverpool</v>
      </c>
      <c r="F131" s="32" t="str">
        <f>VLOOKUP($F$2,Form_PrimeiraFase!$C$2:$FB$69,125,FALSE)</f>
        <v>Liverpool</v>
      </c>
      <c r="G131" s="32" t="str">
        <f>VLOOKUP($G$2,Form_PrimeiraFase!$C$2:$FB$69,125,FALSE)</f>
        <v>Liverpool</v>
      </c>
      <c r="H131" s="32" t="str">
        <f>VLOOKUP($H$2,Form_PrimeiraFase!$C$2:$FB$69,125,FALSE)</f>
        <v>Liverpool</v>
      </c>
      <c r="I131" s="32" t="str">
        <f>VLOOKUP($I$2,Form_PrimeiraFase!$C$2:$FB$69,125,FALSE)</f>
        <v>Liverpool</v>
      </c>
      <c r="J131" s="32" t="str">
        <f>VLOOKUP($J$2,Form_PrimeiraFase!$C$2:$FB$69,125,FALSE)</f>
        <v>Liverpool</v>
      </c>
      <c r="K131" s="32" t="str">
        <f>VLOOKUP($K$2,Form_PrimeiraFase!$C$2:$FB$69,125,FALSE)</f>
        <v>Liverpool</v>
      </c>
      <c r="L131" s="32" t="str">
        <f>VLOOKUP($L$2,Form_PrimeiraFase!$C$2:$FB$69,125,FALSE)</f>
        <v>Liverpool</v>
      </c>
      <c r="M131" s="32" t="str">
        <f>VLOOKUP($M$2,Form_PrimeiraFase!$C$2:$FB$69,125,FALSE)</f>
        <v>Liverpool</v>
      </c>
      <c r="N131" s="32" t="str">
        <f>VLOOKUP($N$2,Form_PrimeiraFase!$C$2:$FB$69,125,FALSE)</f>
        <v>Liverpool</v>
      </c>
      <c r="O131" s="32" t="str">
        <f>VLOOKUP($O$2,Form_PrimeiraFase!$C$2:$FB$69,125,FALSE)</f>
        <v>Liverpool</v>
      </c>
      <c r="P131" s="32" t="str">
        <f>VLOOKUP($P$2,Form_PrimeiraFase!$C$2:$FB$69,125,FALSE)</f>
        <v>Liverpool</v>
      </c>
      <c r="Q131" s="32" t="str">
        <f>VLOOKUP($Q$2,Form_PrimeiraFase!$C$2:$FB$69,125,FALSE)</f>
        <v>Liverpool</v>
      </c>
      <c r="R131" s="32" t="str">
        <f>VLOOKUP($R$2,Form_PrimeiraFase!$C$2:$FB$69,125,FALSE)</f>
        <v>Liverpool</v>
      </c>
      <c r="S131" s="32" t="str">
        <f>VLOOKUP($S$2,Form_PrimeiraFase!$C$2:$FB$69,125,FALSE)</f>
        <v>Liverpool</v>
      </c>
      <c r="T131" s="32" t="str">
        <f>VLOOKUP($T$2,Form_PrimeiraFase!$C$2:$FB$69,125,FALSE)</f>
        <v>Olympique de Marselha</v>
      </c>
      <c r="U131" s="32" t="str">
        <f>VLOOKUP($U$2,Form_PrimeiraFase!$C$2:$FB$69,125,FALSE)</f>
        <v>Liverpool</v>
      </c>
      <c r="V131" s="32" t="str">
        <f>VLOOKUP($V$2,Form_PrimeiraFase!$C$2:$FB$69,125,FALSE)</f>
        <v>Liverpool</v>
      </c>
      <c r="W131" s="32" t="str">
        <f>VLOOKUP($W$2,Form_PrimeiraFase!$C$2:$FB$69,125,FALSE)</f>
        <v>Liverpool</v>
      </c>
      <c r="X131" s="33">
        <f t="shared" ref="X131:Y131" si="396">COUNTIF($C131:$W131,J131)</f>
        <v>20</v>
      </c>
      <c r="Y131" s="33">
        <f t="shared" si="396"/>
        <v>20</v>
      </c>
      <c r="Z131" s="33">
        <f t="shared" si="9"/>
        <v>20</v>
      </c>
      <c r="AA131" s="33">
        <f t="shared" si="10"/>
        <v>20</v>
      </c>
      <c r="AB131" s="33">
        <f t="shared" ref="AB131:AC131" si="397">COUNTIF($C131:$W131,N131)</f>
        <v>20</v>
      </c>
      <c r="AC131" s="33">
        <f t="shared" si="397"/>
        <v>20</v>
      </c>
      <c r="AD131" s="33">
        <f t="shared" si="12"/>
        <v>20</v>
      </c>
      <c r="AE131" s="33">
        <f t="shared" si="13"/>
        <v>20</v>
      </c>
      <c r="AF131" s="33">
        <f t="shared" si="14"/>
        <v>20</v>
      </c>
      <c r="AG131" s="33">
        <f t="shared" si="15"/>
        <v>20</v>
      </c>
      <c r="AH131" s="33">
        <f t="shared" si="16"/>
        <v>20</v>
      </c>
      <c r="AI131" s="33">
        <f t="shared" si="17"/>
        <v>20</v>
      </c>
      <c r="AJ131" s="33">
        <f t="shared" si="18"/>
        <v>20</v>
      </c>
      <c r="AK131" s="33">
        <f t="shared" si="19"/>
        <v>20</v>
      </c>
      <c r="AL131" s="33">
        <f t="shared" si="20"/>
        <v>20</v>
      </c>
      <c r="AM131" s="33">
        <f t="shared" si="21"/>
        <v>20</v>
      </c>
      <c r="AN131" s="33">
        <f t="shared" si="22"/>
        <v>20</v>
      </c>
      <c r="AO131" s="33">
        <f t="shared" ref="AO131:AR131" si="398">COUNTIF($C131:$W131,T131)</f>
        <v>1</v>
      </c>
      <c r="AP131" s="33">
        <f t="shared" si="398"/>
        <v>20</v>
      </c>
      <c r="AQ131" s="33">
        <f t="shared" si="398"/>
        <v>20</v>
      </c>
      <c r="AR131" s="33">
        <f t="shared" si="398"/>
        <v>20</v>
      </c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ht="12.75" customHeight="1">
      <c r="A132" s="30" t="s">
        <v>76</v>
      </c>
      <c r="B132" s="31" t="s">
        <v>59</v>
      </c>
      <c r="C132" s="32" t="str">
        <f>VLOOKUP($C$2,Form_PrimeiraFase!$C$2:$FB$69,126,FALSE)</f>
        <v>Newcastle</v>
      </c>
      <c r="D132" s="32" t="str">
        <f>VLOOKUP($D$2,Form_PrimeiraFase!$C$2:$FB$69,126,FALSE)</f>
        <v>Newcastle</v>
      </c>
      <c r="E132" s="32" t="str">
        <f>VLOOKUP($E$2,Form_PrimeiraFase!$C$2:$FB$69,126,FALSE)</f>
        <v>Newcastle</v>
      </c>
      <c r="F132" s="32" t="str">
        <f>VLOOKUP($F$2,Form_PrimeiraFase!$C$2:$FB$69,126,FALSE)</f>
        <v>Newcastle</v>
      </c>
      <c r="G132" s="32" t="str">
        <f>VLOOKUP($G$2,Form_PrimeiraFase!$C$2:$FB$69,126,FALSE)</f>
        <v>Newcastle</v>
      </c>
      <c r="H132" s="32" t="str">
        <f>VLOOKUP($H$2,Form_PrimeiraFase!$C$2:$FB$69,126,FALSE)</f>
        <v>Newcastle</v>
      </c>
      <c r="I132" s="32" t="str">
        <f>VLOOKUP($I$2,Form_PrimeiraFase!$C$2:$FB$69,126,FALSE)</f>
        <v>Newcastle</v>
      </c>
      <c r="J132" s="32" t="str">
        <f>VLOOKUP($J$2,Form_PrimeiraFase!$C$2:$FB$69,126,FALSE)</f>
        <v>Newcastle</v>
      </c>
      <c r="K132" s="32" t="str">
        <f>VLOOKUP($K$2,Form_PrimeiraFase!$C$2:$FB$69,126,FALSE)</f>
        <v>Newcastle</v>
      </c>
      <c r="L132" s="32" t="str">
        <f>VLOOKUP($L$2,Form_PrimeiraFase!$C$2:$FB$69,126,FALSE)</f>
        <v>Newcastle</v>
      </c>
      <c r="M132" s="32" t="str">
        <f>VLOOKUP($M$2,Form_PrimeiraFase!$C$2:$FB$69,126,FALSE)</f>
        <v>Newcastle</v>
      </c>
      <c r="N132" s="32" t="str">
        <f>VLOOKUP($N$2,Form_PrimeiraFase!$C$2:$FB$69,126,FALSE)</f>
        <v>Newcastle</v>
      </c>
      <c r="O132" s="32" t="str">
        <f>VLOOKUP($O$2,Form_PrimeiraFase!$C$2:$FB$69,126,FALSE)</f>
        <v>Newcastle</v>
      </c>
      <c r="P132" s="32" t="str">
        <f>VLOOKUP($P$2,Form_PrimeiraFase!$C$2:$FB$69,126,FALSE)</f>
        <v>Newcastle</v>
      </c>
      <c r="Q132" s="32" t="str">
        <f>VLOOKUP($Q$2,Form_PrimeiraFase!$C$2:$FB$69,126,FALSE)</f>
        <v>Newcastle</v>
      </c>
      <c r="R132" s="32" t="str">
        <f>VLOOKUP($R$2,Form_PrimeiraFase!$C$2:$FB$69,126,FALSE)</f>
        <v>PSV Eindhoven</v>
      </c>
      <c r="S132" s="32" t="str">
        <f>VLOOKUP($S$2,Form_PrimeiraFase!$C$2:$FB$69,126,FALSE)</f>
        <v>Newcastle</v>
      </c>
      <c r="T132" s="32" t="str">
        <f>VLOOKUP($T$2,Form_PrimeiraFase!$C$2:$FB$69,126,FALSE)</f>
        <v>Newcastle</v>
      </c>
      <c r="U132" s="32" t="str">
        <f>VLOOKUP($U$2,Form_PrimeiraFase!$C$2:$FB$69,126,FALSE)</f>
        <v>Newcastle</v>
      </c>
      <c r="V132" s="32" t="str">
        <f>VLOOKUP($V$2,Form_PrimeiraFase!$C$2:$FB$69,126,FALSE)</f>
        <v>Newcastle</v>
      </c>
      <c r="W132" s="32" t="str">
        <f>VLOOKUP($W$2,Form_PrimeiraFase!$C$2:$FB$69,126,FALSE)</f>
        <v>Newcastle</v>
      </c>
      <c r="X132" s="33">
        <f t="shared" ref="X132:Y132" si="399">COUNTIF($C132:$W132,J132)</f>
        <v>20</v>
      </c>
      <c r="Y132" s="33">
        <f t="shared" si="399"/>
        <v>20</v>
      </c>
      <c r="Z132" s="33">
        <f t="shared" si="9"/>
        <v>1</v>
      </c>
      <c r="AA132" s="33">
        <f t="shared" si="10"/>
        <v>20</v>
      </c>
      <c r="AB132" s="33">
        <f t="shared" ref="AB132:AC132" si="400">COUNTIF($C132:$W132,N132)</f>
        <v>20</v>
      </c>
      <c r="AC132" s="33">
        <f t="shared" si="400"/>
        <v>20</v>
      </c>
      <c r="AD132" s="33">
        <f t="shared" si="12"/>
        <v>20</v>
      </c>
      <c r="AE132" s="33">
        <f t="shared" si="13"/>
        <v>20</v>
      </c>
      <c r="AF132" s="33">
        <f t="shared" si="14"/>
        <v>20</v>
      </c>
      <c r="AG132" s="33">
        <f t="shared" si="15"/>
        <v>20</v>
      </c>
      <c r="AH132" s="33">
        <f t="shared" si="16"/>
        <v>20</v>
      </c>
      <c r="AI132" s="33">
        <f t="shared" si="17"/>
        <v>20</v>
      </c>
      <c r="AJ132" s="33">
        <f t="shared" si="18"/>
        <v>20</v>
      </c>
      <c r="AK132" s="33">
        <f t="shared" si="19"/>
        <v>20</v>
      </c>
      <c r="AL132" s="33">
        <f t="shared" si="20"/>
        <v>20</v>
      </c>
      <c r="AM132" s="33">
        <f t="shared" si="21"/>
        <v>20</v>
      </c>
      <c r="AN132" s="33">
        <f t="shared" si="22"/>
        <v>20</v>
      </c>
      <c r="AO132" s="33">
        <f t="shared" ref="AO132:AR132" si="401">COUNTIF($C132:$W132,T132)</f>
        <v>20</v>
      </c>
      <c r="AP132" s="33">
        <f t="shared" si="401"/>
        <v>20</v>
      </c>
      <c r="AQ132" s="33">
        <f t="shared" si="401"/>
        <v>20</v>
      </c>
      <c r="AR132" s="33">
        <f t="shared" si="401"/>
        <v>20</v>
      </c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ht="12.75" customHeight="1">
      <c r="A133" s="30" t="s">
        <v>76</v>
      </c>
      <c r="B133" s="31" t="s">
        <v>45</v>
      </c>
      <c r="C133" s="32" t="str">
        <f>VLOOKUP($C$2,Form_PrimeiraFase!$C$2:$FB$69,127,FALSE)</f>
        <v>Bayern de Munique</v>
      </c>
      <c r="D133" s="32" t="str">
        <f>VLOOKUP($D$2,Form_PrimeiraFase!$C$2:$FB$69,127,FALSE)</f>
        <v>Bayern de Munique</v>
      </c>
      <c r="E133" s="32" t="str">
        <f>VLOOKUP($E$2,Form_PrimeiraFase!$C$2:$FB$69,127,FALSE)</f>
        <v>Bayern de Munique</v>
      </c>
      <c r="F133" s="32" t="str">
        <f>VLOOKUP($F$2,Form_PrimeiraFase!$C$2:$FB$69,127,FALSE)</f>
        <v>Bayern de Munique</v>
      </c>
      <c r="G133" s="32" t="str">
        <f>VLOOKUP($G$2,Form_PrimeiraFase!$C$2:$FB$69,127,FALSE)</f>
        <v>Bayern de Munique</v>
      </c>
      <c r="H133" s="32" t="str">
        <f>VLOOKUP($H$2,Form_PrimeiraFase!$C$2:$FB$69,127,FALSE)</f>
        <v>Bayern de Munique</v>
      </c>
      <c r="I133" s="32" t="str">
        <f>VLOOKUP($I$2,Form_PrimeiraFase!$C$2:$FB$69,127,FALSE)</f>
        <v>Bayern de Munique</v>
      </c>
      <c r="J133" s="32" t="str">
        <f>VLOOKUP($J$2,Form_PrimeiraFase!$C$2:$FB$69,127,FALSE)</f>
        <v>Bayern de Munique</v>
      </c>
      <c r="K133" s="32" t="str">
        <f>VLOOKUP($K$2,Form_PrimeiraFase!$C$2:$FB$69,127,FALSE)</f>
        <v>Bayern de Munique</v>
      </c>
      <c r="L133" s="32" t="str">
        <f>VLOOKUP($L$2,Form_PrimeiraFase!$C$2:$FB$69,127,FALSE)</f>
        <v>Bayern de Munique</v>
      </c>
      <c r="M133" s="32" t="str">
        <f>VLOOKUP($M$2,Form_PrimeiraFase!$C$2:$FB$69,127,FALSE)</f>
        <v>Bayern de Munique</v>
      </c>
      <c r="N133" s="32" t="str">
        <f>VLOOKUP($N$2,Form_PrimeiraFase!$C$2:$FB$69,127,FALSE)</f>
        <v>Bayern de Munique</v>
      </c>
      <c r="O133" s="32" t="str">
        <f>VLOOKUP($O$2,Form_PrimeiraFase!$C$2:$FB$69,127,FALSE)</f>
        <v>Bayern de Munique</v>
      </c>
      <c r="P133" s="32" t="str">
        <f>VLOOKUP($P$2,Form_PrimeiraFase!$C$2:$FB$69,127,FALSE)</f>
        <v>Bayern de Munique</v>
      </c>
      <c r="Q133" s="32" t="str">
        <f>VLOOKUP($Q$2,Form_PrimeiraFase!$C$2:$FB$69,127,FALSE)</f>
        <v>Bayern de Munique</v>
      </c>
      <c r="R133" s="32" t="str">
        <f>VLOOKUP($R$2,Form_PrimeiraFase!$C$2:$FB$69,127,FALSE)</f>
        <v>Bayern de Munique</v>
      </c>
      <c r="S133" s="32" t="str">
        <f>VLOOKUP($S$2,Form_PrimeiraFase!$C$2:$FB$69,127,FALSE)</f>
        <v>Bayern de Munique</v>
      </c>
      <c r="T133" s="32" t="str">
        <f>VLOOKUP($T$2,Form_PrimeiraFase!$C$2:$FB$69,127,FALSE)</f>
        <v>Bayern de Munique</v>
      </c>
      <c r="U133" s="32" t="str">
        <f>VLOOKUP($U$2,Form_PrimeiraFase!$C$2:$FB$69,127,FALSE)</f>
        <v>Bayern de Munique</v>
      </c>
      <c r="V133" s="32" t="str">
        <f>VLOOKUP($V$2,Form_PrimeiraFase!$C$2:$FB$69,127,FALSE)</f>
        <v>Bayern de Munique</v>
      </c>
      <c r="W133" s="32" t="str">
        <f>VLOOKUP($W$2,Form_PrimeiraFase!$C$2:$FB$69,127,FALSE)</f>
        <v>Bayern de Munique</v>
      </c>
      <c r="X133" s="33">
        <f t="shared" ref="X133:Y133" si="402">COUNTIF($C133:$W133,J133)</f>
        <v>21</v>
      </c>
      <c r="Y133" s="33">
        <f t="shared" si="402"/>
        <v>21</v>
      </c>
      <c r="Z133" s="33">
        <f t="shared" si="9"/>
        <v>21</v>
      </c>
      <c r="AA133" s="33">
        <f t="shared" si="10"/>
        <v>21</v>
      </c>
      <c r="AB133" s="33">
        <f t="shared" ref="AB133:AC133" si="403">COUNTIF($C133:$W133,N133)</f>
        <v>21</v>
      </c>
      <c r="AC133" s="33">
        <f t="shared" si="403"/>
        <v>21</v>
      </c>
      <c r="AD133" s="33">
        <f t="shared" si="12"/>
        <v>21</v>
      </c>
      <c r="AE133" s="33">
        <f t="shared" si="13"/>
        <v>21</v>
      </c>
      <c r="AF133" s="33">
        <f t="shared" si="14"/>
        <v>21</v>
      </c>
      <c r="AG133" s="33">
        <f t="shared" si="15"/>
        <v>21</v>
      </c>
      <c r="AH133" s="33">
        <f t="shared" si="16"/>
        <v>21</v>
      </c>
      <c r="AI133" s="33">
        <f t="shared" si="17"/>
        <v>21</v>
      </c>
      <c r="AJ133" s="33">
        <f t="shared" si="18"/>
        <v>21</v>
      </c>
      <c r="AK133" s="33">
        <f t="shared" si="19"/>
        <v>21</v>
      </c>
      <c r="AL133" s="33">
        <f t="shared" si="20"/>
        <v>21</v>
      </c>
      <c r="AM133" s="33">
        <f t="shared" si="21"/>
        <v>21</v>
      </c>
      <c r="AN133" s="33">
        <f t="shared" si="22"/>
        <v>21</v>
      </c>
      <c r="AO133" s="33">
        <f t="shared" ref="AO133:AR133" si="404">COUNTIF($C133:$W133,T133)</f>
        <v>21</v>
      </c>
      <c r="AP133" s="33">
        <f t="shared" si="404"/>
        <v>21</v>
      </c>
      <c r="AQ133" s="33">
        <f t="shared" si="404"/>
        <v>21</v>
      </c>
      <c r="AR133" s="33">
        <f t="shared" si="404"/>
        <v>21</v>
      </c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ht="12.75" customHeight="1">
      <c r="A134" s="30" t="s">
        <v>78</v>
      </c>
      <c r="B134" s="31" t="s">
        <v>67</v>
      </c>
      <c r="C134" s="32" t="str">
        <f>VLOOKUP($C$2,Form_PrimeiraFase!$C$2:$FB$69,128,FALSE)</f>
        <v>Slavia Praga</v>
      </c>
      <c r="D134" s="32" t="str">
        <f>VLOOKUP($D$2,Form_PrimeiraFase!$C$2:$FB$69,128,FALSE)</f>
        <v>Slavia Praga</v>
      </c>
      <c r="E134" s="32" t="str">
        <f>VLOOKUP($E$2,Form_PrimeiraFase!$C$2:$FB$69,128,FALSE)</f>
        <v>Slavia Praga</v>
      </c>
      <c r="F134" s="32" t="str">
        <f>VLOOKUP($F$2,Form_PrimeiraFase!$C$2:$FB$69,128,FALSE)</f>
        <v>Pafos</v>
      </c>
      <c r="G134" s="32" t="str">
        <f>VLOOKUP($G$2,Form_PrimeiraFase!$C$2:$FB$69,128,FALSE)</f>
        <v>Empate</v>
      </c>
      <c r="H134" s="32" t="str">
        <f>VLOOKUP($H$2,Form_PrimeiraFase!$C$2:$FB$69,128,FALSE)</f>
        <v>Pafos</v>
      </c>
      <c r="I134" s="32" t="str">
        <f>VLOOKUP($I$2,Form_PrimeiraFase!$C$2:$FB$69,128,FALSE)</f>
        <v>Empate</v>
      </c>
      <c r="J134" s="32" t="str">
        <f>VLOOKUP($J$2,Form_PrimeiraFase!$C$2:$FB$69,128,FALSE)</f>
        <v>Slavia Praga</v>
      </c>
      <c r="K134" s="32" t="str">
        <f>VLOOKUP($K$2,Form_PrimeiraFase!$C$2:$FB$69,128,FALSE)</f>
        <v>Slavia Praga</v>
      </c>
      <c r="L134" s="32" t="str">
        <f>VLOOKUP($L$2,Form_PrimeiraFase!$C$2:$FB$69,128,FALSE)</f>
        <v>Pafos</v>
      </c>
      <c r="M134" s="32" t="str">
        <f>VLOOKUP($M$2,Form_PrimeiraFase!$C$2:$FB$69,128,FALSE)</f>
        <v>Slavia Praga</v>
      </c>
      <c r="N134" s="32" t="str">
        <f>VLOOKUP($N$2,Form_PrimeiraFase!$C$2:$FB$69,128,FALSE)</f>
        <v>Slavia Praga</v>
      </c>
      <c r="O134" s="32" t="str">
        <f>VLOOKUP($O$2,Form_PrimeiraFase!$C$2:$FB$69,128,FALSE)</f>
        <v>Empate</v>
      </c>
      <c r="P134" s="32" t="str">
        <f>VLOOKUP($P$2,Form_PrimeiraFase!$C$2:$FB$69,128,FALSE)</f>
        <v>Slavia Praga</v>
      </c>
      <c r="Q134" s="32" t="str">
        <f>VLOOKUP($Q$2,Form_PrimeiraFase!$C$2:$FB$69,128,FALSE)</f>
        <v>Slavia Praga</v>
      </c>
      <c r="R134" s="32" t="str">
        <f>VLOOKUP($R$2,Form_PrimeiraFase!$C$2:$FB$69,128,FALSE)</f>
        <v>Pafos</v>
      </c>
      <c r="S134" s="32" t="str">
        <f>VLOOKUP($S$2,Form_PrimeiraFase!$C$2:$FB$69,128,FALSE)</f>
        <v>Empate</v>
      </c>
      <c r="T134" s="32" t="str">
        <f>VLOOKUP($T$2,Form_PrimeiraFase!$C$2:$FB$69,128,FALSE)</f>
        <v>Slavia Praga</v>
      </c>
      <c r="U134" s="32" t="str">
        <f>VLOOKUP($U$2,Form_PrimeiraFase!$C$2:$FB$69,128,FALSE)</f>
        <v>Empate</v>
      </c>
      <c r="V134" s="32" t="str">
        <f>VLOOKUP($V$2,Form_PrimeiraFase!$C$2:$FB$69,128,FALSE)</f>
        <v>Empate</v>
      </c>
      <c r="W134" s="32" t="str">
        <f>VLOOKUP($W$2,Form_PrimeiraFase!$C$2:$FB$69,128,FALSE)</f>
        <v>Slavia Praga</v>
      </c>
      <c r="X134" s="33">
        <f t="shared" ref="X134:Y134" si="405">COUNTIF($C134:$W134,J134)</f>
        <v>11</v>
      </c>
      <c r="Y134" s="33">
        <f t="shared" si="405"/>
        <v>11</v>
      </c>
      <c r="Z134" s="33">
        <f t="shared" si="9"/>
        <v>4</v>
      </c>
      <c r="AA134" s="33">
        <f t="shared" si="10"/>
        <v>11</v>
      </c>
      <c r="AB134" s="33">
        <f t="shared" ref="AB134:AC134" si="406">COUNTIF($C134:$W134,N134)</f>
        <v>11</v>
      </c>
      <c r="AC134" s="33">
        <f t="shared" si="406"/>
        <v>6</v>
      </c>
      <c r="AD134" s="33">
        <f t="shared" si="12"/>
        <v>6</v>
      </c>
      <c r="AE134" s="33">
        <f t="shared" si="13"/>
        <v>4</v>
      </c>
      <c r="AF134" s="33">
        <f t="shared" si="14"/>
        <v>11</v>
      </c>
      <c r="AG134" s="33">
        <f t="shared" si="15"/>
        <v>6</v>
      </c>
      <c r="AH134" s="33">
        <f t="shared" si="16"/>
        <v>11</v>
      </c>
      <c r="AI134" s="33">
        <f t="shared" si="17"/>
        <v>11</v>
      </c>
      <c r="AJ134" s="33">
        <f t="shared" si="18"/>
        <v>11</v>
      </c>
      <c r="AK134" s="33">
        <f t="shared" si="19"/>
        <v>6</v>
      </c>
      <c r="AL134" s="33">
        <f t="shared" si="20"/>
        <v>11</v>
      </c>
      <c r="AM134" s="33">
        <f t="shared" si="21"/>
        <v>4</v>
      </c>
      <c r="AN134" s="33">
        <f t="shared" si="22"/>
        <v>4</v>
      </c>
      <c r="AO134" s="33">
        <f t="shared" ref="AO134:AR134" si="407">COUNTIF($C134:$W134,T134)</f>
        <v>11</v>
      </c>
      <c r="AP134" s="33">
        <f t="shared" si="407"/>
        <v>6</v>
      </c>
      <c r="AQ134" s="33">
        <f t="shared" si="407"/>
        <v>6</v>
      </c>
      <c r="AR134" s="33">
        <f t="shared" si="407"/>
        <v>11</v>
      </c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ht="12.75" customHeight="1">
      <c r="A135" s="30" t="s">
        <v>78</v>
      </c>
      <c r="B135" s="31" t="s">
        <v>42</v>
      </c>
      <c r="C135" s="32" t="str">
        <f>VLOOKUP($C$2,Form_PrimeiraFase!$C$2:$FB$69,129,FALSE)</f>
        <v>Paris Saint-Germain</v>
      </c>
      <c r="D135" s="32" t="str">
        <f>VLOOKUP($D$2,Form_PrimeiraFase!$C$2:$FB$69,129,FALSE)</f>
        <v>Paris Saint-Germain</v>
      </c>
      <c r="E135" s="32" t="str">
        <f>VLOOKUP($E$2,Form_PrimeiraFase!$C$2:$FB$69,129,FALSE)</f>
        <v>Paris Saint-Germain</v>
      </c>
      <c r="F135" s="32" t="str">
        <f>VLOOKUP($F$2,Form_PrimeiraFase!$C$2:$FB$69,129,FALSE)</f>
        <v>Paris Saint-Germain</v>
      </c>
      <c r="G135" s="32" t="str">
        <f>VLOOKUP($G$2,Form_PrimeiraFase!$C$2:$FB$69,129,FALSE)</f>
        <v>Paris Saint-Germain</v>
      </c>
      <c r="H135" s="32" t="str">
        <f>VLOOKUP($H$2,Form_PrimeiraFase!$C$2:$FB$69,129,FALSE)</f>
        <v>Paris Saint-Germain</v>
      </c>
      <c r="I135" s="32" t="str">
        <f>VLOOKUP($I$2,Form_PrimeiraFase!$C$2:$FB$69,129,FALSE)</f>
        <v>Paris Saint-Germain</v>
      </c>
      <c r="J135" s="32" t="str">
        <f>VLOOKUP($J$2,Form_PrimeiraFase!$C$2:$FB$69,129,FALSE)</f>
        <v>Paris Saint-Germain</v>
      </c>
      <c r="K135" s="32" t="str">
        <f>VLOOKUP($K$2,Form_PrimeiraFase!$C$2:$FB$69,129,FALSE)</f>
        <v>Paris Saint-Germain</v>
      </c>
      <c r="L135" s="32" t="str">
        <f>VLOOKUP($L$2,Form_PrimeiraFase!$C$2:$FB$69,129,FALSE)</f>
        <v>Paris Saint-Germain</v>
      </c>
      <c r="M135" s="32" t="str">
        <f>VLOOKUP($M$2,Form_PrimeiraFase!$C$2:$FB$69,129,FALSE)</f>
        <v>Paris Saint-Germain</v>
      </c>
      <c r="N135" s="32" t="str">
        <f>VLOOKUP($N$2,Form_PrimeiraFase!$C$2:$FB$69,129,FALSE)</f>
        <v>Paris Saint-Germain</v>
      </c>
      <c r="O135" s="32" t="str">
        <f>VLOOKUP($O$2,Form_PrimeiraFase!$C$2:$FB$69,129,FALSE)</f>
        <v>Paris Saint-Germain</v>
      </c>
      <c r="P135" s="32" t="str">
        <f>VLOOKUP($P$2,Form_PrimeiraFase!$C$2:$FB$69,129,FALSE)</f>
        <v>Paris Saint-Germain</v>
      </c>
      <c r="Q135" s="32" t="str">
        <f>VLOOKUP($Q$2,Form_PrimeiraFase!$C$2:$FB$69,129,FALSE)</f>
        <v>Paris Saint-Germain</v>
      </c>
      <c r="R135" s="32" t="str">
        <f>VLOOKUP($R$2,Form_PrimeiraFase!$C$2:$FB$69,129,FALSE)</f>
        <v>Paris Saint-Germain</v>
      </c>
      <c r="S135" s="32" t="str">
        <f>VLOOKUP($S$2,Form_PrimeiraFase!$C$2:$FB$69,129,FALSE)</f>
        <v>Paris Saint-Germain</v>
      </c>
      <c r="T135" s="32" t="str">
        <f>VLOOKUP($T$2,Form_PrimeiraFase!$C$2:$FB$69,129,FALSE)</f>
        <v>Paris Saint-Germain</v>
      </c>
      <c r="U135" s="32" t="str">
        <f>VLOOKUP($U$2,Form_PrimeiraFase!$C$2:$FB$69,129,FALSE)</f>
        <v>Paris Saint-Germain</v>
      </c>
      <c r="V135" s="32" t="str">
        <f>VLOOKUP($V$2,Form_PrimeiraFase!$C$2:$FB$69,129,FALSE)</f>
        <v>Paris Saint-Germain</v>
      </c>
      <c r="W135" s="32" t="str">
        <f>VLOOKUP($W$2,Form_PrimeiraFase!$C$2:$FB$69,129,FALSE)</f>
        <v>Paris Saint-Germain</v>
      </c>
      <c r="X135" s="33">
        <f t="shared" ref="X135:Y135" si="408">COUNTIF($C135:$W135,J135)</f>
        <v>21</v>
      </c>
      <c r="Y135" s="33">
        <f t="shared" si="408"/>
        <v>21</v>
      </c>
      <c r="Z135" s="33">
        <f t="shared" si="9"/>
        <v>21</v>
      </c>
      <c r="AA135" s="33">
        <f t="shared" si="10"/>
        <v>21</v>
      </c>
      <c r="AB135" s="33">
        <f t="shared" ref="AB135:AC135" si="409">COUNTIF($C135:$W135,N135)</f>
        <v>21</v>
      </c>
      <c r="AC135" s="33">
        <f t="shared" si="409"/>
        <v>21</v>
      </c>
      <c r="AD135" s="33">
        <f t="shared" si="12"/>
        <v>21</v>
      </c>
      <c r="AE135" s="33">
        <f t="shared" si="13"/>
        <v>21</v>
      </c>
      <c r="AF135" s="33">
        <f t="shared" si="14"/>
        <v>21</v>
      </c>
      <c r="AG135" s="33">
        <f t="shared" si="15"/>
        <v>21</v>
      </c>
      <c r="AH135" s="33">
        <f t="shared" si="16"/>
        <v>21</v>
      </c>
      <c r="AI135" s="33">
        <f t="shared" si="17"/>
        <v>21</v>
      </c>
      <c r="AJ135" s="33">
        <f t="shared" si="18"/>
        <v>21</v>
      </c>
      <c r="AK135" s="33">
        <f t="shared" si="19"/>
        <v>21</v>
      </c>
      <c r="AL135" s="33">
        <f t="shared" si="20"/>
        <v>21</v>
      </c>
      <c r="AM135" s="33">
        <f t="shared" si="21"/>
        <v>21</v>
      </c>
      <c r="AN135" s="33">
        <f t="shared" si="22"/>
        <v>21</v>
      </c>
      <c r="AO135" s="33">
        <f t="shared" ref="AO135:AR135" si="410">COUNTIF($C135:$W135,T135)</f>
        <v>21</v>
      </c>
      <c r="AP135" s="33">
        <f t="shared" si="410"/>
        <v>21</v>
      </c>
      <c r="AQ135" s="33">
        <f t="shared" si="410"/>
        <v>21</v>
      </c>
      <c r="AR135" s="33">
        <f t="shared" si="410"/>
        <v>21</v>
      </c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ht="12.75" customHeight="1">
      <c r="A136" s="30" t="s">
        <v>78</v>
      </c>
      <c r="B136" s="31" t="s">
        <v>49</v>
      </c>
      <c r="C136" s="32" t="str">
        <f>VLOOKUP($C$2,Form_PrimeiraFase!$C$2:$FB$69,130,FALSE)</f>
        <v>Manchester City</v>
      </c>
      <c r="D136" s="32" t="str">
        <f>VLOOKUP($D$2,Form_PrimeiraFase!$C$2:$FB$69,130,FALSE)</f>
        <v>Manchester City</v>
      </c>
      <c r="E136" s="32" t="str">
        <f>VLOOKUP($E$2,Form_PrimeiraFase!$C$2:$FB$69,130,FALSE)</f>
        <v>Manchester City</v>
      </c>
      <c r="F136" s="32" t="str">
        <f>VLOOKUP($F$2,Form_PrimeiraFase!$C$2:$FB$69,130,FALSE)</f>
        <v>Manchester City</v>
      </c>
      <c r="G136" s="32" t="str">
        <f>VLOOKUP($G$2,Form_PrimeiraFase!$C$2:$FB$69,130,FALSE)</f>
        <v>Manchester City</v>
      </c>
      <c r="H136" s="32" t="str">
        <f>VLOOKUP($H$2,Form_PrimeiraFase!$C$2:$FB$69,130,FALSE)</f>
        <v>Manchester City</v>
      </c>
      <c r="I136" s="32" t="str">
        <f>VLOOKUP($I$2,Form_PrimeiraFase!$C$2:$FB$69,130,FALSE)</f>
        <v>Manchester City</v>
      </c>
      <c r="J136" s="32" t="str">
        <f>VLOOKUP($J$2,Form_PrimeiraFase!$C$2:$FB$69,130,FALSE)</f>
        <v>Manchester City</v>
      </c>
      <c r="K136" s="32" t="str">
        <f>VLOOKUP($K$2,Form_PrimeiraFase!$C$2:$FB$69,130,FALSE)</f>
        <v>Manchester City</v>
      </c>
      <c r="L136" s="32" t="str">
        <f>VLOOKUP($L$2,Form_PrimeiraFase!$C$2:$FB$69,130,FALSE)</f>
        <v>Manchester City</v>
      </c>
      <c r="M136" s="32" t="str">
        <f>VLOOKUP($M$2,Form_PrimeiraFase!$C$2:$FB$69,130,FALSE)</f>
        <v>Manchester City</v>
      </c>
      <c r="N136" s="32" t="str">
        <f>VLOOKUP($N$2,Form_PrimeiraFase!$C$2:$FB$69,130,FALSE)</f>
        <v>Manchester City</v>
      </c>
      <c r="O136" s="32" t="str">
        <f>VLOOKUP($O$2,Form_PrimeiraFase!$C$2:$FB$69,130,FALSE)</f>
        <v>Manchester City</v>
      </c>
      <c r="P136" s="32" t="str">
        <f>VLOOKUP($P$2,Form_PrimeiraFase!$C$2:$FB$69,130,FALSE)</f>
        <v>Manchester City</v>
      </c>
      <c r="Q136" s="32" t="str">
        <f>VLOOKUP($Q$2,Form_PrimeiraFase!$C$2:$FB$69,130,FALSE)</f>
        <v>Manchester City</v>
      </c>
      <c r="R136" s="32" t="str">
        <f>VLOOKUP($R$2,Form_PrimeiraFase!$C$2:$FB$69,130,FALSE)</f>
        <v>Manchester City</v>
      </c>
      <c r="S136" s="32" t="str">
        <f>VLOOKUP($S$2,Form_PrimeiraFase!$C$2:$FB$69,130,FALSE)</f>
        <v>Manchester City</v>
      </c>
      <c r="T136" s="32" t="str">
        <f>VLOOKUP($T$2,Form_PrimeiraFase!$C$2:$FB$69,130,FALSE)</f>
        <v>Manchester City</v>
      </c>
      <c r="U136" s="32" t="str">
        <f>VLOOKUP($U$2,Form_PrimeiraFase!$C$2:$FB$69,130,FALSE)</f>
        <v>Manchester City</v>
      </c>
      <c r="V136" s="32" t="str">
        <f>VLOOKUP($V$2,Form_PrimeiraFase!$C$2:$FB$69,130,FALSE)</f>
        <v>Manchester City</v>
      </c>
      <c r="W136" s="32" t="str">
        <f>VLOOKUP($W$2,Form_PrimeiraFase!$C$2:$FB$69,130,FALSE)</f>
        <v>Manchester City</v>
      </c>
      <c r="X136" s="33">
        <f t="shared" ref="X136:Y136" si="411">COUNTIF($C136:$W136,J136)</f>
        <v>21</v>
      </c>
      <c r="Y136" s="33">
        <f t="shared" si="411"/>
        <v>21</v>
      </c>
      <c r="Z136" s="33">
        <f t="shared" si="9"/>
        <v>21</v>
      </c>
      <c r="AA136" s="33">
        <f t="shared" si="10"/>
        <v>21</v>
      </c>
      <c r="AB136" s="33">
        <f t="shared" ref="AB136:AC136" si="412">COUNTIF($C136:$W136,N136)</f>
        <v>21</v>
      </c>
      <c r="AC136" s="33">
        <f t="shared" si="412"/>
        <v>21</v>
      </c>
      <c r="AD136" s="33">
        <f t="shared" si="12"/>
        <v>21</v>
      </c>
      <c r="AE136" s="33">
        <f t="shared" si="13"/>
        <v>21</v>
      </c>
      <c r="AF136" s="33">
        <f t="shared" si="14"/>
        <v>21</v>
      </c>
      <c r="AG136" s="33">
        <f t="shared" si="15"/>
        <v>21</v>
      </c>
      <c r="AH136" s="33">
        <f t="shared" si="16"/>
        <v>21</v>
      </c>
      <c r="AI136" s="33">
        <f t="shared" si="17"/>
        <v>21</v>
      </c>
      <c r="AJ136" s="33">
        <f t="shared" si="18"/>
        <v>21</v>
      </c>
      <c r="AK136" s="33">
        <f t="shared" si="19"/>
        <v>21</v>
      </c>
      <c r="AL136" s="33">
        <f t="shared" si="20"/>
        <v>21</v>
      </c>
      <c r="AM136" s="33">
        <f t="shared" si="21"/>
        <v>21</v>
      </c>
      <c r="AN136" s="33">
        <f t="shared" si="22"/>
        <v>21</v>
      </c>
      <c r="AO136" s="33">
        <f t="shared" ref="AO136:AR136" si="413">COUNTIF($C136:$W136,T136)</f>
        <v>21</v>
      </c>
      <c r="AP136" s="33">
        <f t="shared" si="413"/>
        <v>21</v>
      </c>
      <c r="AQ136" s="33">
        <f t="shared" si="413"/>
        <v>21</v>
      </c>
      <c r="AR136" s="33">
        <f t="shared" si="413"/>
        <v>21</v>
      </c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ht="12.75" customHeight="1">
      <c r="A137" s="30" t="s">
        <v>78</v>
      </c>
      <c r="B137" s="31" t="s">
        <v>46</v>
      </c>
      <c r="C137" s="32" t="str">
        <f>VLOOKUP($C$2,Form_PrimeiraFase!$C$2:$FB$69,131,FALSE)</f>
        <v>Liverpool</v>
      </c>
      <c r="D137" s="32" t="str">
        <f>VLOOKUP($D$2,Form_PrimeiraFase!$C$2:$FB$69,131,FALSE)</f>
        <v>Liverpool</v>
      </c>
      <c r="E137" s="32" t="str">
        <f>VLOOKUP($E$2,Form_PrimeiraFase!$C$2:$FB$69,131,FALSE)</f>
        <v>Liverpool</v>
      </c>
      <c r="F137" s="32" t="str">
        <f>VLOOKUP($F$2,Form_PrimeiraFase!$C$2:$FB$69,131,FALSE)</f>
        <v>Liverpool</v>
      </c>
      <c r="G137" s="32" t="str">
        <f>VLOOKUP($G$2,Form_PrimeiraFase!$C$2:$FB$69,131,FALSE)</f>
        <v>Liverpool</v>
      </c>
      <c r="H137" s="32" t="str">
        <f>VLOOKUP($H$2,Form_PrimeiraFase!$C$2:$FB$69,131,FALSE)</f>
        <v>Liverpool</v>
      </c>
      <c r="I137" s="32" t="str">
        <f>VLOOKUP($I$2,Form_PrimeiraFase!$C$2:$FB$69,131,FALSE)</f>
        <v>Liverpool</v>
      </c>
      <c r="J137" s="32" t="str">
        <f>VLOOKUP($J$2,Form_PrimeiraFase!$C$2:$FB$69,131,FALSE)</f>
        <v>Liverpool</v>
      </c>
      <c r="K137" s="32" t="str">
        <f>VLOOKUP($K$2,Form_PrimeiraFase!$C$2:$FB$69,131,FALSE)</f>
        <v>Liverpool</v>
      </c>
      <c r="L137" s="32" t="str">
        <f>VLOOKUP($L$2,Form_PrimeiraFase!$C$2:$FB$69,131,FALSE)</f>
        <v>Liverpool</v>
      </c>
      <c r="M137" s="32" t="str">
        <f>VLOOKUP($M$2,Form_PrimeiraFase!$C$2:$FB$69,131,FALSE)</f>
        <v>Liverpool</v>
      </c>
      <c r="N137" s="32" t="str">
        <f>VLOOKUP($N$2,Form_PrimeiraFase!$C$2:$FB$69,131,FALSE)</f>
        <v>Liverpool</v>
      </c>
      <c r="O137" s="32" t="str">
        <f>VLOOKUP($O$2,Form_PrimeiraFase!$C$2:$FB$69,131,FALSE)</f>
        <v>Liverpool</v>
      </c>
      <c r="P137" s="32" t="str">
        <f>VLOOKUP($P$2,Form_PrimeiraFase!$C$2:$FB$69,131,FALSE)</f>
        <v>Liverpool</v>
      </c>
      <c r="Q137" s="32" t="str">
        <f>VLOOKUP($Q$2,Form_PrimeiraFase!$C$2:$FB$69,131,FALSE)</f>
        <v>Liverpool</v>
      </c>
      <c r="R137" s="32" t="str">
        <f>VLOOKUP($R$2,Form_PrimeiraFase!$C$2:$FB$69,131,FALSE)</f>
        <v>Liverpool</v>
      </c>
      <c r="S137" s="32" t="str">
        <f>VLOOKUP($S$2,Form_PrimeiraFase!$C$2:$FB$69,131,FALSE)</f>
        <v>Liverpool</v>
      </c>
      <c r="T137" s="32" t="str">
        <f>VLOOKUP($T$2,Form_PrimeiraFase!$C$2:$FB$69,131,FALSE)</f>
        <v>Liverpool</v>
      </c>
      <c r="U137" s="32" t="str">
        <f>VLOOKUP($U$2,Form_PrimeiraFase!$C$2:$FB$69,131,FALSE)</f>
        <v>Liverpool</v>
      </c>
      <c r="V137" s="32" t="str">
        <f>VLOOKUP($V$2,Form_PrimeiraFase!$C$2:$FB$69,131,FALSE)</f>
        <v>Liverpool</v>
      </c>
      <c r="W137" s="32" t="str">
        <f>VLOOKUP($W$2,Form_PrimeiraFase!$C$2:$FB$69,131,FALSE)</f>
        <v>Liverpool</v>
      </c>
      <c r="X137" s="33">
        <f t="shared" ref="X137:Y137" si="414">COUNTIF($C137:$W137,J137)</f>
        <v>21</v>
      </c>
      <c r="Y137" s="33">
        <f t="shared" si="414"/>
        <v>21</v>
      </c>
      <c r="Z137" s="33">
        <f t="shared" si="9"/>
        <v>21</v>
      </c>
      <c r="AA137" s="33">
        <f t="shared" si="10"/>
        <v>21</v>
      </c>
      <c r="AB137" s="33">
        <f t="shared" ref="AB137:AC137" si="415">COUNTIF($C137:$W137,N137)</f>
        <v>21</v>
      </c>
      <c r="AC137" s="33">
        <f t="shared" si="415"/>
        <v>21</v>
      </c>
      <c r="AD137" s="33">
        <f t="shared" si="12"/>
        <v>21</v>
      </c>
      <c r="AE137" s="33">
        <f t="shared" si="13"/>
        <v>21</v>
      </c>
      <c r="AF137" s="33">
        <f t="shared" si="14"/>
        <v>21</v>
      </c>
      <c r="AG137" s="33">
        <f t="shared" si="15"/>
        <v>21</v>
      </c>
      <c r="AH137" s="33">
        <f t="shared" si="16"/>
        <v>21</v>
      </c>
      <c r="AI137" s="33">
        <f t="shared" si="17"/>
        <v>21</v>
      </c>
      <c r="AJ137" s="33">
        <f t="shared" si="18"/>
        <v>21</v>
      </c>
      <c r="AK137" s="33">
        <f t="shared" si="19"/>
        <v>21</v>
      </c>
      <c r="AL137" s="33">
        <f t="shared" si="20"/>
        <v>21</v>
      </c>
      <c r="AM137" s="33">
        <f t="shared" si="21"/>
        <v>21</v>
      </c>
      <c r="AN137" s="33">
        <f t="shared" si="22"/>
        <v>21</v>
      </c>
      <c r="AO137" s="33">
        <f t="shared" ref="AO137:AR137" si="416">COUNTIF($C137:$W137,T137)</f>
        <v>21</v>
      </c>
      <c r="AP137" s="33">
        <f t="shared" si="416"/>
        <v>21</v>
      </c>
      <c r="AQ137" s="33">
        <f t="shared" si="416"/>
        <v>21</v>
      </c>
      <c r="AR137" s="33">
        <f t="shared" si="416"/>
        <v>21</v>
      </c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ht="12.75" customHeight="1">
      <c r="A138" s="30" t="s">
        <v>78</v>
      </c>
      <c r="B138" s="31" t="s">
        <v>47</v>
      </c>
      <c r="C138" s="32" t="str">
        <f>VLOOKUP($C$2,Form_PrimeiraFase!$C$2:$FB$69,132,FALSE)</f>
        <v>Empate</v>
      </c>
      <c r="D138" s="32" t="str">
        <f>VLOOKUP($D$2,Form_PrimeiraFase!$C$2:$FB$69,132,FALSE)</f>
        <v>Borussia Dortmund</v>
      </c>
      <c r="E138" s="32" t="str">
        <f>VLOOKUP($E$2,Form_PrimeiraFase!$C$2:$FB$69,132,FALSE)</f>
        <v>Borussia Dortmund</v>
      </c>
      <c r="F138" s="32" t="str">
        <f>VLOOKUP($F$2,Form_PrimeiraFase!$C$2:$FB$69,132,FALSE)</f>
        <v>Borussia Dortmund</v>
      </c>
      <c r="G138" s="32" t="str">
        <f>VLOOKUP($G$2,Form_PrimeiraFase!$C$2:$FB$69,132,FALSE)</f>
        <v>Borussia Dortmund</v>
      </c>
      <c r="H138" s="32" t="str">
        <f>VLOOKUP($H$2,Form_PrimeiraFase!$C$2:$FB$69,132,FALSE)</f>
        <v>Borussia Dortmund</v>
      </c>
      <c r="I138" s="32" t="str">
        <f>VLOOKUP($I$2,Form_PrimeiraFase!$C$2:$FB$69,132,FALSE)</f>
        <v>Borussia Dortmund</v>
      </c>
      <c r="J138" s="32" t="str">
        <f>VLOOKUP($J$2,Form_PrimeiraFase!$C$2:$FB$69,132,FALSE)</f>
        <v>Borussia Dortmund</v>
      </c>
      <c r="K138" s="32" t="str">
        <f>VLOOKUP($K$2,Form_PrimeiraFase!$C$2:$FB$69,132,FALSE)</f>
        <v>Borussia Dortmund</v>
      </c>
      <c r="L138" s="32" t="str">
        <f>VLOOKUP($L$2,Form_PrimeiraFase!$C$2:$FB$69,132,FALSE)</f>
        <v>Empate</v>
      </c>
      <c r="M138" s="32" t="str">
        <f>VLOOKUP($M$2,Form_PrimeiraFase!$C$2:$FB$69,132,FALSE)</f>
        <v>Empate</v>
      </c>
      <c r="N138" s="32" t="str">
        <f>VLOOKUP($N$2,Form_PrimeiraFase!$C$2:$FB$69,132,FALSE)</f>
        <v>Internazionale</v>
      </c>
      <c r="O138" s="32" t="str">
        <f>VLOOKUP($O$2,Form_PrimeiraFase!$C$2:$FB$69,132,FALSE)</f>
        <v>Empate</v>
      </c>
      <c r="P138" s="32" t="str">
        <f>VLOOKUP($P$2,Form_PrimeiraFase!$C$2:$FB$69,132,FALSE)</f>
        <v>Borussia Dortmund</v>
      </c>
      <c r="Q138" s="32" t="str">
        <f>VLOOKUP($Q$2,Form_PrimeiraFase!$C$2:$FB$69,132,FALSE)</f>
        <v>Empate</v>
      </c>
      <c r="R138" s="32" t="str">
        <f>VLOOKUP($R$2,Form_PrimeiraFase!$C$2:$FB$69,132,FALSE)</f>
        <v>Internazionale</v>
      </c>
      <c r="S138" s="32" t="str">
        <f>VLOOKUP($S$2,Form_PrimeiraFase!$C$2:$FB$69,132,FALSE)</f>
        <v>Borussia Dortmund</v>
      </c>
      <c r="T138" s="32" t="str">
        <f>VLOOKUP($T$2,Form_PrimeiraFase!$C$2:$FB$69,132,FALSE)</f>
        <v>Borussia Dortmund</v>
      </c>
      <c r="U138" s="32" t="str">
        <f>VLOOKUP($U$2,Form_PrimeiraFase!$C$2:$FB$69,132,FALSE)</f>
        <v>Borussia Dortmund</v>
      </c>
      <c r="V138" s="32" t="str">
        <f>VLOOKUP($V$2,Form_PrimeiraFase!$C$2:$FB$69,132,FALSE)</f>
        <v>Borussia Dortmund</v>
      </c>
      <c r="W138" s="32" t="str">
        <f>VLOOKUP($W$2,Form_PrimeiraFase!$C$2:$FB$69,132,FALSE)</f>
        <v>Empate</v>
      </c>
      <c r="X138" s="33">
        <f t="shared" ref="X138:Y138" si="417">COUNTIF($C138:$W138,J138)</f>
        <v>13</v>
      </c>
      <c r="Y138" s="33">
        <f t="shared" si="417"/>
        <v>13</v>
      </c>
      <c r="Z138" s="33">
        <f t="shared" si="9"/>
        <v>2</v>
      </c>
      <c r="AA138" s="33">
        <f t="shared" si="10"/>
        <v>13</v>
      </c>
      <c r="AB138" s="33">
        <f t="shared" ref="AB138:AC138" si="418">COUNTIF($C138:$W138,N138)</f>
        <v>2</v>
      </c>
      <c r="AC138" s="33">
        <f t="shared" si="418"/>
        <v>6</v>
      </c>
      <c r="AD138" s="33">
        <f t="shared" si="12"/>
        <v>13</v>
      </c>
      <c r="AE138" s="33">
        <f t="shared" si="13"/>
        <v>13</v>
      </c>
      <c r="AF138" s="33">
        <f t="shared" si="14"/>
        <v>13</v>
      </c>
      <c r="AG138" s="33">
        <f t="shared" si="15"/>
        <v>13</v>
      </c>
      <c r="AH138" s="33">
        <f t="shared" si="16"/>
        <v>6</v>
      </c>
      <c r="AI138" s="33">
        <f t="shared" si="17"/>
        <v>13</v>
      </c>
      <c r="AJ138" s="33">
        <f t="shared" si="18"/>
        <v>6</v>
      </c>
      <c r="AK138" s="33">
        <f t="shared" si="19"/>
        <v>13</v>
      </c>
      <c r="AL138" s="33">
        <f t="shared" si="20"/>
        <v>6</v>
      </c>
      <c r="AM138" s="33">
        <f t="shared" si="21"/>
        <v>6</v>
      </c>
      <c r="AN138" s="33">
        <f t="shared" si="22"/>
        <v>13</v>
      </c>
      <c r="AO138" s="33">
        <f t="shared" ref="AO138:AR138" si="419">COUNTIF($C138:$W138,T138)</f>
        <v>13</v>
      </c>
      <c r="AP138" s="33">
        <f t="shared" si="419"/>
        <v>13</v>
      </c>
      <c r="AQ138" s="33">
        <f t="shared" si="419"/>
        <v>13</v>
      </c>
      <c r="AR138" s="33">
        <f t="shared" si="419"/>
        <v>6</v>
      </c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ht="12.75" customHeight="1">
      <c r="A139" s="30" t="s">
        <v>78</v>
      </c>
      <c r="B139" s="31" t="s">
        <v>52</v>
      </c>
      <c r="C139" s="32" t="str">
        <f>VLOOKUP($C$2,Form_PrimeiraFase!$C$2:$FB$69,133,FALSE)</f>
        <v>Barcelona</v>
      </c>
      <c r="D139" s="32" t="str">
        <f>VLOOKUP($D$2,Form_PrimeiraFase!$C$2:$FB$69,133,FALSE)</f>
        <v>Barcelona</v>
      </c>
      <c r="E139" s="32" t="str">
        <f>VLOOKUP($E$2,Form_PrimeiraFase!$C$2:$FB$69,133,FALSE)</f>
        <v>Barcelona</v>
      </c>
      <c r="F139" s="32" t="str">
        <f>VLOOKUP($F$2,Form_PrimeiraFase!$C$2:$FB$69,133,FALSE)</f>
        <v>Barcelona</v>
      </c>
      <c r="G139" s="32" t="str">
        <f>VLOOKUP($G$2,Form_PrimeiraFase!$C$2:$FB$69,133,FALSE)</f>
        <v>Barcelona</v>
      </c>
      <c r="H139" s="32" t="str">
        <f>VLOOKUP($H$2,Form_PrimeiraFase!$C$2:$FB$69,133,FALSE)</f>
        <v>Barcelona</v>
      </c>
      <c r="I139" s="32" t="str">
        <f>VLOOKUP($I$2,Form_PrimeiraFase!$C$2:$FB$69,133,FALSE)</f>
        <v>Barcelona</v>
      </c>
      <c r="J139" s="32" t="str">
        <f>VLOOKUP($J$2,Form_PrimeiraFase!$C$2:$FB$69,133,FALSE)</f>
        <v>Barcelona</v>
      </c>
      <c r="K139" s="32" t="str">
        <f>VLOOKUP($K$2,Form_PrimeiraFase!$C$2:$FB$69,133,FALSE)</f>
        <v>Barcelona</v>
      </c>
      <c r="L139" s="32" t="str">
        <f>VLOOKUP($L$2,Form_PrimeiraFase!$C$2:$FB$69,133,FALSE)</f>
        <v>Barcelona</v>
      </c>
      <c r="M139" s="32" t="str">
        <f>VLOOKUP($M$2,Form_PrimeiraFase!$C$2:$FB$69,133,FALSE)</f>
        <v>Barcelona</v>
      </c>
      <c r="N139" s="32" t="str">
        <f>VLOOKUP($N$2,Form_PrimeiraFase!$C$2:$FB$69,133,FALSE)</f>
        <v>Barcelona</v>
      </c>
      <c r="O139" s="32" t="str">
        <f>VLOOKUP($O$2,Form_PrimeiraFase!$C$2:$FB$69,133,FALSE)</f>
        <v>Barcelona</v>
      </c>
      <c r="P139" s="32" t="str">
        <f>VLOOKUP($P$2,Form_PrimeiraFase!$C$2:$FB$69,133,FALSE)</f>
        <v>Barcelona</v>
      </c>
      <c r="Q139" s="32" t="str">
        <f>VLOOKUP($Q$2,Form_PrimeiraFase!$C$2:$FB$69,133,FALSE)</f>
        <v>Barcelona</v>
      </c>
      <c r="R139" s="32" t="str">
        <f>VLOOKUP($R$2,Form_PrimeiraFase!$C$2:$FB$69,133,FALSE)</f>
        <v>Barcelona</v>
      </c>
      <c r="S139" s="32" t="str">
        <f>VLOOKUP($S$2,Form_PrimeiraFase!$C$2:$FB$69,133,FALSE)</f>
        <v>Barcelona</v>
      </c>
      <c r="T139" s="32" t="str">
        <f>VLOOKUP($T$2,Form_PrimeiraFase!$C$2:$FB$69,133,FALSE)</f>
        <v>Barcelona</v>
      </c>
      <c r="U139" s="32" t="str">
        <f>VLOOKUP($U$2,Form_PrimeiraFase!$C$2:$FB$69,133,FALSE)</f>
        <v>Barcelona</v>
      </c>
      <c r="V139" s="32" t="str">
        <f>VLOOKUP($V$2,Form_PrimeiraFase!$C$2:$FB$69,133,FALSE)</f>
        <v>Barcelona</v>
      </c>
      <c r="W139" s="32" t="str">
        <f>VLOOKUP($W$2,Form_PrimeiraFase!$C$2:$FB$69,133,FALSE)</f>
        <v>Barcelona</v>
      </c>
      <c r="X139" s="33">
        <f t="shared" ref="X139:Y139" si="420">COUNTIF($C139:$W139,J139)</f>
        <v>21</v>
      </c>
      <c r="Y139" s="33">
        <f t="shared" si="420"/>
        <v>21</v>
      </c>
      <c r="Z139" s="33">
        <f t="shared" si="9"/>
        <v>21</v>
      </c>
      <c r="AA139" s="33">
        <f t="shared" si="10"/>
        <v>21</v>
      </c>
      <c r="AB139" s="33">
        <f t="shared" ref="AB139:AC139" si="421">COUNTIF($C139:$W139,N139)</f>
        <v>21</v>
      </c>
      <c r="AC139" s="33">
        <f t="shared" si="421"/>
        <v>21</v>
      </c>
      <c r="AD139" s="33">
        <f t="shared" si="12"/>
        <v>21</v>
      </c>
      <c r="AE139" s="33">
        <f t="shared" si="13"/>
        <v>21</v>
      </c>
      <c r="AF139" s="33">
        <f t="shared" si="14"/>
        <v>21</v>
      </c>
      <c r="AG139" s="33">
        <f t="shared" si="15"/>
        <v>21</v>
      </c>
      <c r="AH139" s="33">
        <f t="shared" si="16"/>
        <v>21</v>
      </c>
      <c r="AI139" s="33">
        <f t="shared" si="17"/>
        <v>21</v>
      </c>
      <c r="AJ139" s="33">
        <f t="shared" si="18"/>
        <v>21</v>
      </c>
      <c r="AK139" s="33">
        <f t="shared" si="19"/>
        <v>21</v>
      </c>
      <c r="AL139" s="33">
        <f t="shared" si="20"/>
        <v>21</v>
      </c>
      <c r="AM139" s="33">
        <f t="shared" si="21"/>
        <v>21</v>
      </c>
      <c r="AN139" s="33">
        <f t="shared" si="22"/>
        <v>21</v>
      </c>
      <c r="AO139" s="33">
        <f t="shared" ref="AO139:AR139" si="422">COUNTIF($C139:$W139,T139)</f>
        <v>21</v>
      </c>
      <c r="AP139" s="33">
        <f t="shared" si="422"/>
        <v>21</v>
      </c>
      <c r="AQ139" s="33">
        <f t="shared" si="422"/>
        <v>21</v>
      </c>
      <c r="AR139" s="33">
        <f t="shared" si="422"/>
        <v>21</v>
      </c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ht="12.75" customHeight="1">
      <c r="A140" s="30" t="s">
        <v>78</v>
      </c>
      <c r="B140" s="31" t="s">
        <v>39</v>
      </c>
      <c r="C140" s="32" t="str">
        <f>VLOOKUP($C$2,Form_PrimeiraFase!$C$2:$FB$69,134,FALSE)</f>
        <v>Arsenal</v>
      </c>
      <c r="D140" s="32" t="str">
        <f>VLOOKUP($D$2,Form_PrimeiraFase!$C$2:$FB$69,134,FALSE)</f>
        <v>Arsenal</v>
      </c>
      <c r="E140" s="32" t="str">
        <f>VLOOKUP($E$2,Form_PrimeiraFase!$C$2:$FB$69,134,FALSE)</f>
        <v>Arsenal</v>
      </c>
      <c r="F140" s="32" t="str">
        <f>VLOOKUP($F$2,Form_PrimeiraFase!$C$2:$FB$69,134,FALSE)</f>
        <v>Arsenal</v>
      </c>
      <c r="G140" s="32" t="str">
        <f>VLOOKUP($G$2,Form_PrimeiraFase!$C$2:$FB$69,134,FALSE)</f>
        <v>Arsenal</v>
      </c>
      <c r="H140" s="32" t="str">
        <f>VLOOKUP($H$2,Form_PrimeiraFase!$C$2:$FB$69,134,FALSE)</f>
        <v>Arsenal</v>
      </c>
      <c r="I140" s="32" t="str">
        <f>VLOOKUP($I$2,Form_PrimeiraFase!$C$2:$FB$69,134,FALSE)</f>
        <v>Arsenal</v>
      </c>
      <c r="J140" s="32" t="str">
        <f>VLOOKUP($J$2,Form_PrimeiraFase!$C$2:$FB$69,134,FALSE)</f>
        <v>Arsenal</v>
      </c>
      <c r="K140" s="32" t="str">
        <f>VLOOKUP($K$2,Form_PrimeiraFase!$C$2:$FB$69,134,FALSE)</f>
        <v>Arsenal</v>
      </c>
      <c r="L140" s="32" t="str">
        <f>VLOOKUP($L$2,Form_PrimeiraFase!$C$2:$FB$69,134,FALSE)</f>
        <v>Arsenal</v>
      </c>
      <c r="M140" s="32" t="str">
        <f>VLOOKUP($M$2,Form_PrimeiraFase!$C$2:$FB$69,134,FALSE)</f>
        <v>Arsenal</v>
      </c>
      <c r="N140" s="32" t="str">
        <f>VLOOKUP($N$2,Form_PrimeiraFase!$C$2:$FB$69,134,FALSE)</f>
        <v>Arsenal</v>
      </c>
      <c r="O140" s="32" t="str">
        <f>VLOOKUP($O$2,Form_PrimeiraFase!$C$2:$FB$69,134,FALSE)</f>
        <v>Arsenal</v>
      </c>
      <c r="P140" s="32" t="str">
        <f>VLOOKUP($P$2,Form_PrimeiraFase!$C$2:$FB$69,134,FALSE)</f>
        <v>Arsenal</v>
      </c>
      <c r="Q140" s="32" t="str">
        <f>VLOOKUP($Q$2,Form_PrimeiraFase!$C$2:$FB$69,134,FALSE)</f>
        <v>Arsenal</v>
      </c>
      <c r="R140" s="32" t="str">
        <f>VLOOKUP($R$2,Form_PrimeiraFase!$C$2:$FB$69,134,FALSE)</f>
        <v>Arsenal</v>
      </c>
      <c r="S140" s="32" t="str">
        <f>VLOOKUP($S$2,Form_PrimeiraFase!$C$2:$FB$69,134,FALSE)</f>
        <v>Arsenal</v>
      </c>
      <c r="T140" s="32" t="str">
        <f>VLOOKUP($T$2,Form_PrimeiraFase!$C$2:$FB$69,134,FALSE)</f>
        <v>Arsenal</v>
      </c>
      <c r="U140" s="32" t="str">
        <f>VLOOKUP($U$2,Form_PrimeiraFase!$C$2:$FB$69,134,FALSE)</f>
        <v>Arsenal</v>
      </c>
      <c r="V140" s="32" t="str">
        <f>VLOOKUP($V$2,Form_PrimeiraFase!$C$2:$FB$69,134,FALSE)</f>
        <v>Arsenal</v>
      </c>
      <c r="W140" s="32" t="str">
        <f>VLOOKUP($W$2,Form_PrimeiraFase!$C$2:$FB$69,134,FALSE)</f>
        <v>Arsenal</v>
      </c>
      <c r="X140" s="33">
        <f t="shared" ref="X140:Y140" si="423">COUNTIF($C140:$W140,J140)</f>
        <v>21</v>
      </c>
      <c r="Y140" s="33">
        <f t="shared" si="423"/>
        <v>21</v>
      </c>
      <c r="Z140" s="33">
        <f t="shared" si="9"/>
        <v>21</v>
      </c>
      <c r="AA140" s="33">
        <f t="shared" si="10"/>
        <v>21</v>
      </c>
      <c r="AB140" s="33">
        <f t="shared" ref="AB140:AC140" si="424">COUNTIF($C140:$W140,N140)</f>
        <v>21</v>
      </c>
      <c r="AC140" s="33">
        <f t="shared" si="424"/>
        <v>21</v>
      </c>
      <c r="AD140" s="33">
        <f t="shared" si="12"/>
        <v>21</v>
      </c>
      <c r="AE140" s="33">
        <f t="shared" si="13"/>
        <v>21</v>
      </c>
      <c r="AF140" s="33">
        <f t="shared" si="14"/>
        <v>21</v>
      </c>
      <c r="AG140" s="33">
        <f t="shared" si="15"/>
        <v>21</v>
      </c>
      <c r="AH140" s="33">
        <f t="shared" si="16"/>
        <v>21</v>
      </c>
      <c r="AI140" s="33">
        <f t="shared" si="17"/>
        <v>21</v>
      </c>
      <c r="AJ140" s="33">
        <f t="shared" si="18"/>
        <v>21</v>
      </c>
      <c r="AK140" s="33">
        <f t="shared" si="19"/>
        <v>21</v>
      </c>
      <c r="AL140" s="33">
        <f t="shared" si="20"/>
        <v>21</v>
      </c>
      <c r="AM140" s="33">
        <f t="shared" si="21"/>
        <v>21</v>
      </c>
      <c r="AN140" s="33">
        <f t="shared" si="22"/>
        <v>21</v>
      </c>
      <c r="AO140" s="33">
        <f t="shared" ref="AO140:AR140" si="425">COUNTIF($C140:$W140,T140)</f>
        <v>21</v>
      </c>
      <c r="AP140" s="33">
        <f t="shared" si="425"/>
        <v>21</v>
      </c>
      <c r="AQ140" s="33">
        <f t="shared" si="425"/>
        <v>21</v>
      </c>
      <c r="AR140" s="33">
        <f t="shared" si="425"/>
        <v>21</v>
      </c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ht="12.75" customHeight="1">
      <c r="A141" s="30" t="s">
        <v>78</v>
      </c>
      <c r="B141" s="31" t="s">
        <v>68</v>
      </c>
      <c r="C141" s="32" t="str">
        <f>VLOOKUP($C$2,Form_PrimeiraFase!$C$2:$FB$69,135,FALSE)</f>
        <v>Bayer Leverkusen</v>
      </c>
      <c r="D141" s="32" t="str">
        <f>VLOOKUP($D$2,Form_PrimeiraFase!$C$2:$FB$69,135,FALSE)</f>
        <v>Bayer Leverkusen</v>
      </c>
      <c r="E141" s="32" t="str">
        <f>VLOOKUP($E$2,Form_PrimeiraFase!$C$2:$FB$69,135,FALSE)</f>
        <v>Bayer Leverkusen</v>
      </c>
      <c r="F141" s="32" t="str">
        <f>VLOOKUP($F$2,Form_PrimeiraFase!$C$2:$FB$69,135,FALSE)</f>
        <v>Bayer Leverkusen</v>
      </c>
      <c r="G141" s="32" t="str">
        <f>VLOOKUP($G$2,Form_PrimeiraFase!$C$2:$FB$69,135,FALSE)</f>
        <v>Bayer Leverkusen</v>
      </c>
      <c r="H141" s="32" t="str">
        <f>VLOOKUP($H$2,Form_PrimeiraFase!$C$2:$FB$69,135,FALSE)</f>
        <v>Bayer Leverkusen</v>
      </c>
      <c r="I141" s="32" t="str">
        <f>VLOOKUP($I$2,Form_PrimeiraFase!$C$2:$FB$69,135,FALSE)</f>
        <v>Bayer Leverkusen</v>
      </c>
      <c r="J141" s="32" t="str">
        <f>VLOOKUP($J$2,Form_PrimeiraFase!$C$2:$FB$69,135,FALSE)</f>
        <v>Bayer Leverkusen</v>
      </c>
      <c r="K141" s="32" t="str">
        <f>VLOOKUP($K$2,Form_PrimeiraFase!$C$2:$FB$69,135,FALSE)</f>
        <v>Bayer Leverkusen</v>
      </c>
      <c r="L141" s="32" t="str">
        <f>VLOOKUP($L$2,Form_PrimeiraFase!$C$2:$FB$69,135,FALSE)</f>
        <v>Bayer Leverkusen</v>
      </c>
      <c r="M141" s="32" t="str">
        <f>VLOOKUP($M$2,Form_PrimeiraFase!$C$2:$FB$69,135,FALSE)</f>
        <v>Empate</v>
      </c>
      <c r="N141" s="32" t="str">
        <f>VLOOKUP($N$2,Form_PrimeiraFase!$C$2:$FB$69,135,FALSE)</f>
        <v>Bayer Leverkusen</v>
      </c>
      <c r="O141" s="32" t="str">
        <f>VLOOKUP($O$2,Form_PrimeiraFase!$C$2:$FB$69,135,FALSE)</f>
        <v>Bayer Leverkusen</v>
      </c>
      <c r="P141" s="32" t="str">
        <f>VLOOKUP($P$2,Form_PrimeiraFase!$C$2:$FB$69,135,FALSE)</f>
        <v>Bayer Leverkusen</v>
      </c>
      <c r="Q141" s="32" t="str">
        <f>VLOOKUP($Q$2,Form_PrimeiraFase!$C$2:$FB$69,135,FALSE)</f>
        <v>Bayer Leverkusen</v>
      </c>
      <c r="R141" s="32" t="str">
        <f>VLOOKUP($R$2,Form_PrimeiraFase!$C$2:$FB$69,135,FALSE)</f>
        <v>Bayer Leverkusen</v>
      </c>
      <c r="S141" s="32" t="str">
        <f>VLOOKUP($S$2,Form_PrimeiraFase!$C$2:$FB$69,135,FALSE)</f>
        <v>Empate</v>
      </c>
      <c r="T141" s="32" t="str">
        <f>VLOOKUP($T$2,Form_PrimeiraFase!$C$2:$FB$69,135,FALSE)</f>
        <v>Bayer Leverkusen</v>
      </c>
      <c r="U141" s="32" t="str">
        <f>VLOOKUP($U$2,Form_PrimeiraFase!$C$2:$FB$69,135,FALSE)</f>
        <v>Bayer Leverkusen</v>
      </c>
      <c r="V141" s="32" t="str">
        <f>VLOOKUP($V$2,Form_PrimeiraFase!$C$2:$FB$69,135,FALSE)</f>
        <v>Bayer Leverkusen</v>
      </c>
      <c r="W141" s="32" t="str">
        <f>VLOOKUP($W$2,Form_PrimeiraFase!$C$2:$FB$69,135,FALSE)</f>
        <v>Bayer Leverkusen</v>
      </c>
      <c r="X141" s="33">
        <f t="shared" ref="X141:Y141" si="426">COUNTIF($C141:$W141,J141)</f>
        <v>19</v>
      </c>
      <c r="Y141" s="33">
        <f t="shared" si="426"/>
        <v>19</v>
      </c>
      <c r="Z141" s="33">
        <f t="shared" si="9"/>
        <v>19</v>
      </c>
      <c r="AA141" s="33">
        <f t="shared" si="10"/>
        <v>19</v>
      </c>
      <c r="AB141" s="33">
        <f t="shared" ref="AB141:AC141" si="427">COUNTIF($C141:$W141,N141)</f>
        <v>19</v>
      </c>
      <c r="AC141" s="33">
        <f t="shared" si="427"/>
        <v>19</v>
      </c>
      <c r="AD141" s="33">
        <f t="shared" si="12"/>
        <v>19</v>
      </c>
      <c r="AE141" s="33">
        <f t="shared" si="13"/>
        <v>19</v>
      </c>
      <c r="AF141" s="33">
        <f t="shared" si="14"/>
        <v>19</v>
      </c>
      <c r="AG141" s="33">
        <f t="shared" si="15"/>
        <v>2</v>
      </c>
      <c r="AH141" s="33">
        <f t="shared" si="16"/>
        <v>19</v>
      </c>
      <c r="AI141" s="33">
        <f t="shared" si="17"/>
        <v>19</v>
      </c>
      <c r="AJ141" s="33">
        <f t="shared" si="18"/>
        <v>2</v>
      </c>
      <c r="AK141" s="33">
        <f t="shared" si="19"/>
        <v>19</v>
      </c>
      <c r="AL141" s="33">
        <f t="shared" si="20"/>
        <v>19</v>
      </c>
      <c r="AM141" s="33">
        <f t="shared" si="21"/>
        <v>19</v>
      </c>
      <c r="AN141" s="33">
        <f t="shared" si="22"/>
        <v>19</v>
      </c>
      <c r="AO141" s="33">
        <f t="shared" ref="AO141:AR141" si="428">COUNTIF($C141:$W141,T141)</f>
        <v>19</v>
      </c>
      <c r="AP141" s="33">
        <f t="shared" si="428"/>
        <v>19</v>
      </c>
      <c r="AQ141" s="33">
        <f t="shared" si="428"/>
        <v>19</v>
      </c>
      <c r="AR141" s="33">
        <f t="shared" si="428"/>
        <v>19</v>
      </c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ht="12.75" customHeight="1">
      <c r="A142" s="30" t="s">
        <v>78</v>
      </c>
      <c r="B142" s="31" t="s">
        <v>77</v>
      </c>
      <c r="C142" s="32" t="str">
        <f>VLOOKUP($C$2,Form_PrimeiraFase!$C$2:$FB$69,136,FALSE)</f>
        <v>Atlético de Madrid</v>
      </c>
      <c r="D142" s="32" t="str">
        <f>VLOOKUP($D$2,Form_PrimeiraFase!$C$2:$FB$69,136,FALSE)</f>
        <v>Atlético de Madrid</v>
      </c>
      <c r="E142" s="32" t="str">
        <f>VLOOKUP($E$2,Form_PrimeiraFase!$C$2:$FB$69,136,FALSE)</f>
        <v>Atlético de Madrid</v>
      </c>
      <c r="F142" s="32" t="str">
        <f>VLOOKUP($F$2,Form_PrimeiraFase!$C$2:$FB$69,136,FALSE)</f>
        <v>Atlético de Madrid</v>
      </c>
      <c r="G142" s="32" t="str">
        <f>VLOOKUP($G$2,Form_PrimeiraFase!$C$2:$FB$69,136,FALSE)</f>
        <v>Atlético de Madrid</v>
      </c>
      <c r="H142" s="32" t="str">
        <f>VLOOKUP($H$2,Form_PrimeiraFase!$C$2:$FB$69,136,FALSE)</f>
        <v>Atlético de Madrid</v>
      </c>
      <c r="I142" s="32" t="str">
        <f>VLOOKUP($I$2,Form_PrimeiraFase!$C$2:$FB$69,136,FALSE)</f>
        <v>Atlético de Madrid</v>
      </c>
      <c r="J142" s="32" t="str">
        <f>VLOOKUP($J$2,Form_PrimeiraFase!$C$2:$FB$69,136,FALSE)</f>
        <v>Atlético de Madrid</v>
      </c>
      <c r="K142" s="32" t="str">
        <f>VLOOKUP($K$2,Form_PrimeiraFase!$C$2:$FB$69,136,FALSE)</f>
        <v>Atlético de Madrid</v>
      </c>
      <c r="L142" s="32" t="str">
        <f>VLOOKUP($L$2,Form_PrimeiraFase!$C$2:$FB$69,136,FALSE)</f>
        <v>Atlético de Madrid</v>
      </c>
      <c r="M142" s="32" t="str">
        <f>VLOOKUP($M$2,Form_PrimeiraFase!$C$2:$FB$69,136,FALSE)</f>
        <v>Atlético de Madrid</v>
      </c>
      <c r="N142" s="32" t="str">
        <f>VLOOKUP($N$2,Form_PrimeiraFase!$C$2:$FB$69,136,FALSE)</f>
        <v>Atlético de Madrid</v>
      </c>
      <c r="O142" s="32" t="str">
        <f>VLOOKUP($O$2,Form_PrimeiraFase!$C$2:$FB$69,136,FALSE)</f>
        <v>Atlético de Madrid</v>
      </c>
      <c r="P142" s="32" t="str">
        <f>VLOOKUP($P$2,Form_PrimeiraFase!$C$2:$FB$69,136,FALSE)</f>
        <v>Atlético de Madrid</v>
      </c>
      <c r="Q142" s="32" t="str">
        <f>VLOOKUP($Q$2,Form_PrimeiraFase!$C$2:$FB$69,136,FALSE)</f>
        <v>Atlético de Madrid</v>
      </c>
      <c r="R142" s="32" t="str">
        <f>VLOOKUP($R$2,Form_PrimeiraFase!$C$2:$FB$69,136,FALSE)</f>
        <v>Atlético de Madrid</v>
      </c>
      <c r="S142" s="32" t="str">
        <f>VLOOKUP($S$2,Form_PrimeiraFase!$C$2:$FB$69,136,FALSE)</f>
        <v>Atlético de Madrid</v>
      </c>
      <c r="T142" s="32" t="str">
        <f>VLOOKUP($T$2,Form_PrimeiraFase!$C$2:$FB$69,136,FALSE)</f>
        <v>Atlético de Madrid</v>
      </c>
      <c r="U142" s="32" t="str">
        <f>VLOOKUP($U$2,Form_PrimeiraFase!$C$2:$FB$69,136,FALSE)</f>
        <v>Atlético de Madrid</v>
      </c>
      <c r="V142" s="32" t="str">
        <f>VLOOKUP($V$2,Form_PrimeiraFase!$C$2:$FB$69,136,FALSE)</f>
        <v>Atlético de Madrid</v>
      </c>
      <c r="W142" s="32" t="str">
        <f>VLOOKUP($W$2,Form_PrimeiraFase!$C$2:$FB$69,136,FALSE)</f>
        <v>Atlético de Madrid</v>
      </c>
      <c r="X142" s="33">
        <f t="shared" ref="X142:Y142" si="429">COUNTIF($C142:$W142,J142)</f>
        <v>21</v>
      </c>
      <c r="Y142" s="33">
        <f t="shared" si="429"/>
        <v>21</v>
      </c>
      <c r="Z142" s="33">
        <f t="shared" si="9"/>
        <v>21</v>
      </c>
      <c r="AA142" s="33">
        <f t="shared" si="10"/>
        <v>21</v>
      </c>
      <c r="AB142" s="33">
        <f t="shared" ref="AB142:AC142" si="430">COUNTIF($C142:$W142,N142)</f>
        <v>21</v>
      </c>
      <c r="AC142" s="33">
        <f t="shared" si="430"/>
        <v>21</v>
      </c>
      <c r="AD142" s="33">
        <f t="shared" si="12"/>
        <v>21</v>
      </c>
      <c r="AE142" s="33">
        <f t="shared" si="13"/>
        <v>21</v>
      </c>
      <c r="AF142" s="33">
        <f t="shared" si="14"/>
        <v>21</v>
      </c>
      <c r="AG142" s="33">
        <f t="shared" si="15"/>
        <v>21</v>
      </c>
      <c r="AH142" s="33">
        <f t="shared" si="16"/>
        <v>21</v>
      </c>
      <c r="AI142" s="33">
        <f t="shared" si="17"/>
        <v>21</v>
      </c>
      <c r="AJ142" s="33">
        <f t="shared" si="18"/>
        <v>21</v>
      </c>
      <c r="AK142" s="33">
        <f t="shared" si="19"/>
        <v>21</v>
      </c>
      <c r="AL142" s="33">
        <f t="shared" si="20"/>
        <v>21</v>
      </c>
      <c r="AM142" s="33">
        <f t="shared" si="21"/>
        <v>21</v>
      </c>
      <c r="AN142" s="33">
        <f t="shared" si="22"/>
        <v>21</v>
      </c>
      <c r="AO142" s="33">
        <f t="shared" ref="AO142:AR142" si="431">COUNTIF($C142:$W142,T142)</f>
        <v>21</v>
      </c>
      <c r="AP142" s="33">
        <f t="shared" si="431"/>
        <v>21</v>
      </c>
      <c r="AQ142" s="33">
        <f t="shared" si="431"/>
        <v>21</v>
      </c>
      <c r="AR142" s="33">
        <f t="shared" si="431"/>
        <v>21</v>
      </c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ht="12.75" customHeight="1">
      <c r="A143" s="30" t="s">
        <v>78</v>
      </c>
      <c r="B143" s="31" t="s">
        <v>70</v>
      </c>
      <c r="C143" s="32" t="str">
        <f>VLOOKUP($C$2,Form_PrimeiraFase!$C$2:$FB$69,137,FALSE)</f>
        <v>Real Madrid</v>
      </c>
      <c r="D143" s="32" t="str">
        <f>VLOOKUP($D$2,Form_PrimeiraFase!$C$2:$FB$69,137,FALSE)</f>
        <v>Real Madrid</v>
      </c>
      <c r="E143" s="32" t="str">
        <f>VLOOKUP($E$2,Form_PrimeiraFase!$C$2:$FB$69,137,FALSE)</f>
        <v>Real Madrid</v>
      </c>
      <c r="F143" s="32" t="str">
        <f>VLOOKUP($F$2,Form_PrimeiraFase!$C$2:$FB$69,137,FALSE)</f>
        <v>Real Madrid</v>
      </c>
      <c r="G143" s="32" t="str">
        <f>VLOOKUP($G$2,Form_PrimeiraFase!$C$2:$FB$69,137,FALSE)</f>
        <v>Empate</v>
      </c>
      <c r="H143" s="32" t="str">
        <f>VLOOKUP($H$2,Form_PrimeiraFase!$C$2:$FB$69,137,FALSE)</f>
        <v>Real Madrid</v>
      </c>
      <c r="I143" s="32" t="str">
        <f>VLOOKUP($I$2,Form_PrimeiraFase!$C$2:$FB$69,137,FALSE)</f>
        <v>Real Madrid</v>
      </c>
      <c r="J143" s="32" t="str">
        <f>VLOOKUP($J$2,Form_PrimeiraFase!$C$2:$FB$69,137,FALSE)</f>
        <v>Benfica</v>
      </c>
      <c r="K143" s="32" t="str">
        <f>VLOOKUP($K$2,Form_PrimeiraFase!$C$2:$FB$69,137,FALSE)</f>
        <v>Real Madrid</v>
      </c>
      <c r="L143" s="32" t="str">
        <f>VLOOKUP($L$2,Form_PrimeiraFase!$C$2:$FB$69,137,FALSE)</f>
        <v>Benfica</v>
      </c>
      <c r="M143" s="32" t="str">
        <f>VLOOKUP($M$2,Form_PrimeiraFase!$C$2:$FB$69,137,FALSE)</f>
        <v>Empate</v>
      </c>
      <c r="N143" s="32" t="str">
        <f>VLOOKUP($N$2,Form_PrimeiraFase!$C$2:$FB$69,137,FALSE)</f>
        <v>Real Madrid</v>
      </c>
      <c r="O143" s="32" t="str">
        <f>VLOOKUP($O$2,Form_PrimeiraFase!$C$2:$FB$69,137,FALSE)</f>
        <v>Real Madrid</v>
      </c>
      <c r="P143" s="32" t="str">
        <f>VLOOKUP($P$2,Form_PrimeiraFase!$C$2:$FB$69,137,FALSE)</f>
        <v>Real Madrid</v>
      </c>
      <c r="Q143" s="32" t="str">
        <f>VLOOKUP($Q$2,Form_PrimeiraFase!$C$2:$FB$69,137,FALSE)</f>
        <v>Real Madrid</v>
      </c>
      <c r="R143" s="32" t="str">
        <f>VLOOKUP($R$2,Form_PrimeiraFase!$C$2:$FB$69,137,FALSE)</f>
        <v>Real Madrid</v>
      </c>
      <c r="S143" s="32" t="str">
        <f>VLOOKUP($S$2,Form_PrimeiraFase!$C$2:$FB$69,137,FALSE)</f>
        <v>Real Madrid</v>
      </c>
      <c r="T143" s="32" t="str">
        <f>VLOOKUP($T$2,Form_PrimeiraFase!$C$2:$FB$69,137,FALSE)</f>
        <v>Benfica</v>
      </c>
      <c r="U143" s="32" t="str">
        <f>VLOOKUP($U$2,Form_PrimeiraFase!$C$2:$FB$69,137,FALSE)</f>
        <v>Empate</v>
      </c>
      <c r="V143" s="32" t="str">
        <f>VLOOKUP($V$2,Form_PrimeiraFase!$C$2:$FB$69,137,FALSE)</f>
        <v>Real Madrid</v>
      </c>
      <c r="W143" s="32" t="str">
        <f>VLOOKUP($W$2,Form_PrimeiraFase!$C$2:$FB$69,137,FALSE)</f>
        <v>Real Madrid</v>
      </c>
      <c r="X143" s="33">
        <f t="shared" ref="X143:Y143" si="432">COUNTIF($C143:$W143,J143)</f>
        <v>3</v>
      </c>
      <c r="Y143" s="33">
        <f t="shared" si="432"/>
        <v>15</v>
      </c>
      <c r="Z143" s="33">
        <f t="shared" si="9"/>
        <v>15</v>
      </c>
      <c r="AA143" s="33">
        <f t="shared" si="10"/>
        <v>15</v>
      </c>
      <c r="AB143" s="33">
        <f t="shared" ref="AB143:AC143" si="433">COUNTIF($C143:$W143,N143)</f>
        <v>15</v>
      </c>
      <c r="AC143" s="33">
        <f t="shared" si="433"/>
        <v>15</v>
      </c>
      <c r="AD143" s="33">
        <f t="shared" si="12"/>
        <v>3</v>
      </c>
      <c r="AE143" s="33">
        <f t="shared" si="13"/>
        <v>15</v>
      </c>
      <c r="AF143" s="33">
        <f t="shared" si="14"/>
        <v>15</v>
      </c>
      <c r="AG143" s="33">
        <f t="shared" si="15"/>
        <v>15</v>
      </c>
      <c r="AH143" s="33">
        <f t="shared" si="16"/>
        <v>15</v>
      </c>
      <c r="AI143" s="33">
        <f t="shared" si="17"/>
        <v>15</v>
      </c>
      <c r="AJ143" s="33">
        <f t="shared" si="18"/>
        <v>3</v>
      </c>
      <c r="AK143" s="33">
        <f t="shared" si="19"/>
        <v>15</v>
      </c>
      <c r="AL143" s="33">
        <f t="shared" si="20"/>
        <v>15</v>
      </c>
      <c r="AM143" s="33">
        <f t="shared" si="21"/>
        <v>3</v>
      </c>
      <c r="AN143" s="33">
        <f t="shared" si="22"/>
        <v>15</v>
      </c>
      <c r="AO143" s="33">
        <f t="shared" ref="AO143:AR143" si="434">COUNTIF($C143:$W143,T143)</f>
        <v>3</v>
      </c>
      <c r="AP143" s="33">
        <f t="shared" si="434"/>
        <v>3</v>
      </c>
      <c r="AQ143" s="33">
        <f t="shared" si="434"/>
        <v>15</v>
      </c>
      <c r="AR143" s="33">
        <f t="shared" si="434"/>
        <v>15</v>
      </c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ht="12.75" customHeight="1">
      <c r="A144" s="30" t="s">
        <v>78</v>
      </c>
      <c r="B144" s="31" t="s">
        <v>43</v>
      </c>
      <c r="C144" s="32" t="str">
        <f>VLOOKUP($C$2,Form_PrimeiraFase!$C$2:$FB$69,138,FALSE)</f>
        <v>Empate</v>
      </c>
      <c r="D144" s="32" t="str">
        <f>VLOOKUP($D$2,Form_PrimeiraFase!$C$2:$FB$69,138,FALSE)</f>
        <v>Eintracht Frankfurt</v>
      </c>
      <c r="E144" s="32" t="str">
        <f>VLOOKUP($E$2,Form_PrimeiraFase!$C$2:$FB$69,138,FALSE)</f>
        <v>Tottenham</v>
      </c>
      <c r="F144" s="32" t="str">
        <f>VLOOKUP($F$2,Form_PrimeiraFase!$C$2:$FB$69,138,FALSE)</f>
        <v>Tottenham</v>
      </c>
      <c r="G144" s="32" t="str">
        <f>VLOOKUP($G$2,Form_PrimeiraFase!$C$2:$FB$69,138,FALSE)</f>
        <v>Empate</v>
      </c>
      <c r="H144" s="32" t="str">
        <f>VLOOKUP($H$2,Form_PrimeiraFase!$C$2:$FB$69,138,FALSE)</f>
        <v>Tottenham</v>
      </c>
      <c r="I144" s="32" t="str">
        <f>VLOOKUP($I$2,Form_PrimeiraFase!$C$2:$FB$69,138,FALSE)</f>
        <v>Tottenham</v>
      </c>
      <c r="J144" s="32" t="str">
        <f>VLOOKUP($J$2,Form_PrimeiraFase!$C$2:$FB$69,138,FALSE)</f>
        <v>Eintracht Frankfurt</v>
      </c>
      <c r="K144" s="32" t="str">
        <f>VLOOKUP($K$2,Form_PrimeiraFase!$C$2:$FB$69,138,FALSE)</f>
        <v>Tottenham</v>
      </c>
      <c r="L144" s="32" t="str">
        <f>VLOOKUP($L$2,Form_PrimeiraFase!$C$2:$FB$69,138,FALSE)</f>
        <v>Eintracht Frankfurt</v>
      </c>
      <c r="M144" s="32" t="str">
        <f>VLOOKUP($M$2,Form_PrimeiraFase!$C$2:$FB$69,138,FALSE)</f>
        <v>Empate</v>
      </c>
      <c r="N144" s="32" t="str">
        <f>VLOOKUP($N$2,Form_PrimeiraFase!$C$2:$FB$69,138,FALSE)</f>
        <v>Tottenham</v>
      </c>
      <c r="O144" s="32" t="str">
        <f>VLOOKUP($O$2,Form_PrimeiraFase!$C$2:$FB$69,138,FALSE)</f>
        <v>Empate</v>
      </c>
      <c r="P144" s="32" t="str">
        <f>VLOOKUP($P$2,Form_PrimeiraFase!$C$2:$FB$69,138,FALSE)</f>
        <v>Tottenham</v>
      </c>
      <c r="Q144" s="32" t="str">
        <f>VLOOKUP($Q$2,Form_PrimeiraFase!$C$2:$FB$69,138,FALSE)</f>
        <v>Tottenham</v>
      </c>
      <c r="R144" s="32" t="str">
        <f>VLOOKUP($R$2,Form_PrimeiraFase!$C$2:$FB$69,138,FALSE)</f>
        <v>Tottenham</v>
      </c>
      <c r="S144" s="32" t="str">
        <f>VLOOKUP($S$2,Form_PrimeiraFase!$C$2:$FB$69,138,FALSE)</f>
        <v>Tottenham</v>
      </c>
      <c r="T144" s="32" t="str">
        <f>VLOOKUP($T$2,Form_PrimeiraFase!$C$2:$FB$69,138,FALSE)</f>
        <v>Eintracht Frankfurt</v>
      </c>
      <c r="U144" s="32" t="str">
        <f>VLOOKUP($U$2,Form_PrimeiraFase!$C$2:$FB$69,138,FALSE)</f>
        <v>Tottenham</v>
      </c>
      <c r="V144" s="32" t="str">
        <f>VLOOKUP($V$2,Form_PrimeiraFase!$C$2:$FB$69,138,FALSE)</f>
        <v>Tottenham</v>
      </c>
      <c r="W144" s="32" t="str">
        <f>VLOOKUP($W$2,Form_PrimeiraFase!$C$2:$FB$69,138,FALSE)</f>
        <v>Empate</v>
      </c>
      <c r="X144" s="33">
        <f t="shared" ref="X144:Y144" si="435">COUNTIF($C144:$W144,J144)</f>
        <v>4</v>
      </c>
      <c r="Y144" s="33">
        <f t="shared" si="435"/>
        <v>12</v>
      </c>
      <c r="Z144" s="33">
        <f t="shared" si="9"/>
        <v>12</v>
      </c>
      <c r="AA144" s="33">
        <f t="shared" si="10"/>
        <v>4</v>
      </c>
      <c r="AB144" s="33">
        <f t="shared" ref="AB144:AC144" si="436">COUNTIF($C144:$W144,N144)</f>
        <v>12</v>
      </c>
      <c r="AC144" s="33">
        <f t="shared" si="436"/>
        <v>5</v>
      </c>
      <c r="AD144" s="33">
        <f t="shared" si="12"/>
        <v>5</v>
      </c>
      <c r="AE144" s="33">
        <f t="shared" si="13"/>
        <v>12</v>
      </c>
      <c r="AF144" s="33">
        <f t="shared" si="14"/>
        <v>12</v>
      </c>
      <c r="AG144" s="33">
        <f t="shared" si="15"/>
        <v>12</v>
      </c>
      <c r="AH144" s="33">
        <f t="shared" si="16"/>
        <v>5</v>
      </c>
      <c r="AI144" s="33">
        <f t="shared" si="17"/>
        <v>12</v>
      </c>
      <c r="AJ144" s="33">
        <f t="shared" si="18"/>
        <v>5</v>
      </c>
      <c r="AK144" s="33">
        <f t="shared" si="19"/>
        <v>12</v>
      </c>
      <c r="AL144" s="33">
        <f t="shared" si="20"/>
        <v>12</v>
      </c>
      <c r="AM144" s="33">
        <f t="shared" si="21"/>
        <v>4</v>
      </c>
      <c r="AN144" s="33">
        <f t="shared" si="22"/>
        <v>12</v>
      </c>
      <c r="AO144" s="33">
        <f t="shared" ref="AO144:AR144" si="437">COUNTIF($C144:$W144,T144)</f>
        <v>4</v>
      </c>
      <c r="AP144" s="33">
        <f t="shared" si="437"/>
        <v>12</v>
      </c>
      <c r="AQ144" s="33">
        <f t="shared" si="437"/>
        <v>12</v>
      </c>
      <c r="AR144" s="33">
        <f t="shared" si="437"/>
        <v>5</v>
      </c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ht="12.75" customHeight="1">
      <c r="A145" s="30" t="s">
        <v>78</v>
      </c>
      <c r="B145" s="31" t="s">
        <v>48</v>
      </c>
      <c r="C145" s="32" t="str">
        <f>VLOOKUP($C$2,Form_PrimeiraFase!$C$2:$FB$69,139,FALSE)</f>
        <v>Club Brugge</v>
      </c>
      <c r="D145" s="32" t="str">
        <f>VLOOKUP($D$2,Form_PrimeiraFase!$C$2:$FB$69,139,FALSE)</f>
        <v>Empate</v>
      </c>
      <c r="E145" s="32" t="str">
        <f>VLOOKUP($E$2,Form_PrimeiraFase!$C$2:$FB$69,139,FALSE)</f>
        <v>Empate</v>
      </c>
      <c r="F145" s="32" t="str">
        <f>VLOOKUP($F$2,Form_PrimeiraFase!$C$2:$FB$69,139,FALSE)</f>
        <v>Olympique de Marselha</v>
      </c>
      <c r="G145" s="32" t="str">
        <f>VLOOKUP($G$2,Form_PrimeiraFase!$C$2:$FB$69,139,FALSE)</f>
        <v>Club Brugge</v>
      </c>
      <c r="H145" s="32" t="str">
        <f>VLOOKUP($H$2,Form_PrimeiraFase!$C$2:$FB$69,139,FALSE)</f>
        <v>Olympique de Marselha</v>
      </c>
      <c r="I145" s="32" t="str">
        <f>VLOOKUP($I$2,Form_PrimeiraFase!$C$2:$FB$69,139,FALSE)</f>
        <v>Club Brugge</v>
      </c>
      <c r="J145" s="32" t="str">
        <f>VLOOKUP($J$2,Form_PrimeiraFase!$C$2:$FB$69,139,FALSE)</f>
        <v>Club Brugge</v>
      </c>
      <c r="K145" s="32" t="str">
        <f>VLOOKUP($K$2,Form_PrimeiraFase!$C$2:$FB$69,139,FALSE)</f>
        <v>Club Brugge</v>
      </c>
      <c r="L145" s="32" t="str">
        <f>VLOOKUP($L$2,Form_PrimeiraFase!$C$2:$FB$69,139,FALSE)</f>
        <v>Club Brugge</v>
      </c>
      <c r="M145" s="32" t="str">
        <f>VLOOKUP($M$2,Form_PrimeiraFase!$C$2:$FB$69,139,FALSE)</f>
        <v>Club Brugge</v>
      </c>
      <c r="N145" s="32" t="str">
        <f>VLOOKUP($N$2,Form_PrimeiraFase!$C$2:$FB$69,139,FALSE)</f>
        <v>Club Brugge</v>
      </c>
      <c r="O145" s="32" t="str">
        <f>VLOOKUP($O$2,Form_PrimeiraFase!$C$2:$FB$69,139,FALSE)</f>
        <v>Club Brugge</v>
      </c>
      <c r="P145" s="32" t="str">
        <f>VLOOKUP($P$2,Form_PrimeiraFase!$C$2:$FB$69,139,FALSE)</f>
        <v>Empate</v>
      </c>
      <c r="Q145" s="32" t="str">
        <f>VLOOKUP($Q$2,Form_PrimeiraFase!$C$2:$FB$69,139,FALSE)</f>
        <v>Club Brugge</v>
      </c>
      <c r="R145" s="32" t="str">
        <f>VLOOKUP($R$2,Form_PrimeiraFase!$C$2:$FB$69,139,FALSE)</f>
        <v>Club Brugge</v>
      </c>
      <c r="S145" s="32" t="str">
        <f>VLOOKUP($S$2,Form_PrimeiraFase!$C$2:$FB$69,139,FALSE)</f>
        <v>Club Brugge</v>
      </c>
      <c r="T145" s="32" t="str">
        <f>VLOOKUP($T$2,Form_PrimeiraFase!$C$2:$FB$69,139,FALSE)</f>
        <v>Club Brugge</v>
      </c>
      <c r="U145" s="32" t="str">
        <f>VLOOKUP($U$2,Form_PrimeiraFase!$C$2:$FB$69,139,FALSE)</f>
        <v>Olympique de Marselha</v>
      </c>
      <c r="V145" s="32" t="str">
        <f>VLOOKUP($V$2,Form_PrimeiraFase!$C$2:$FB$69,139,FALSE)</f>
        <v>Club Brugge</v>
      </c>
      <c r="W145" s="32" t="str">
        <f>VLOOKUP($W$2,Form_PrimeiraFase!$C$2:$FB$69,139,FALSE)</f>
        <v>Empate</v>
      </c>
      <c r="X145" s="33">
        <f t="shared" ref="X145:Y145" si="438">COUNTIF($C145:$W145,J145)</f>
        <v>14</v>
      </c>
      <c r="Y145" s="33">
        <f t="shared" si="438"/>
        <v>14</v>
      </c>
      <c r="Z145" s="33">
        <f t="shared" si="9"/>
        <v>14</v>
      </c>
      <c r="AA145" s="33">
        <f t="shared" si="10"/>
        <v>4</v>
      </c>
      <c r="AB145" s="33">
        <f t="shared" ref="AB145:AC145" si="439">COUNTIF($C145:$W145,N145)</f>
        <v>14</v>
      </c>
      <c r="AC145" s="33">
        <f t="shared" si="439"/>
        <v>14</v>
      </c>
      <c r="AD145" s="33">
        <f t="shared" si="12"/>
        <v>14</v>
      </c>
      <c r="AE145" s="33">
        <f t="shared" si="13"/>
        <v>3</v>
      </c>
      <c r="AF145" s="33">
        <f t="shared" si="14"/>
        <v>4</v>
      </c>
      <c r="AG145" s="33">
        <f t="shared" si="15"/>
        <v>14</v>
      </c>
      <c r="AH145" s="33">
        <f t="shared" si="16"/>
        <v>14</v>
      </c>
      <c r="AI145" s="33">
        <f t="shared" si="17"/>
        <v>4</v>
      </c>
      <c r="AJ145" s="33">
        <f t="shared" si="18"/>
        <v>14</v>
      </c>
      <c r="AK145" s="33">
        <f t="shared" si="19"/>
        <v>14</v>
      </c>
      <c r="AL145" s="33">
        <f t="shared" si="20"/>
        <v>14</v>
      </c>
      <c r="AM145" s="33">
        <f t="shared" si="21"/>
        <v>14</v>
      </c>
      <c r="AN145" s="33">
        <f t="shared" si="22"/>
        <v>3</v>
      </c>
      <c r="AO145" s="33">
        <f t="shared" ref="AO145:AR145" si="440">COUNTIF($C145:$W145,T145)</f>
        <v>14</v>
      </c>
      <c r="AP145" s="33">
        <f t="shared" si="440"/>
        <v>3</v>
      </c>
      <c r="AQ145" s="33">
        <f t="shared" si="440"/>
        <v>14</v>
      </c>
      <c r="AR145" s="33">
        <f t="shared" si="440"/>
        <v>4</v>
      </c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ht="12.75" customHeight="1">
      <c r="A146" s="30" t="s">
        <v>78</v>
      </c>
      <c r="B146" s="31" t="s">
        <v>45</v>
      </c>
      <c r="C146" s="32" t="str">
        <f>VLOOKUP($C$2,Form_PrimeiraFase!$C$2:$FB$69,140,FALSE)</f>
        <v>Bayern de Munique</v>
      </c>
      <c r="D146" s="32" t="str">
        <f>VLOOKUP($D$2,Form_PrimeiraFase!$C$2:$FB$69,140,FALSE)</f>
        <v>Bayern de Munique</v>
      </c>
      <c r="E146" s="32" t="str">
        <f>VLOOKUP($E$2,Form_PrimeiraFase!$C$2:$FB$69,140,FALSE)</f>
        <v>Bayern de Munique</v>
      </c>
      <c r="F146" s="32" t="str">
        <f>VLOOKUP($F$2,Form_PrimeiraFase!$C$2:$FB$69,140,FALSE)</f>
        <v>Bayern de Munique</v>
      </c>
      <c r="G146" s="32" t="str">
        <f>VLOOKUP($G$2,Form_PrimeiraFase!$C$2:$FB$69,140,FALSE)</f>
        <v>Bayern de Munique</v>
      </c>
      <c r="H146" s="32" t="str">
        <f>VLOOKUP($H$2,Form_PrimeiraFase!$C$2:$FB$69,140,FALSE)</f>
        <v>Bayern de Munique</v>
      </c>
      <c r="I146" s="32" t="str">
        <f>VLOOKUP($I$2,Form_PrimeiraFase!$C$2:$FB$69,140,FALSE)</f>
        <v>Bayern de Munique</v>
      </c>
      <c r="J146" s="32" t="str">
        <f>VLOOKUP($J$2,Form_PrimeiraFase!$C$2:$FB$69,140,FALSE)</f>
        <v>Bayern de Munique</v>
      </c>
      <c r="K146" s="32" t="str">
        <f>VLOOKUP($K$2,Form_PrimeiraFase!$C$2:$FB$69,140,FALSE)</f>
        <v>PSV Eindhoven</v>
      </c>
      <c r="L146" s="32" t="str">
        <f>VLOOKUP($L$2,Form_PrimeiraFase!$C$2:$FB$69,140,FALSE)</f>
        <v>Bayern de Munique</v>
      </c>
      <c r="M146" s="32" t="str">
        <f>VLOOKUP($M$2,Form_PrimeiraFase!$C$2:$FB$69,140,FALSE)</f>
        <v>Bayern de Munique</v>
      </c>
      <c r="N146" s="32" t="str">
        <f>VLOOKUP($N$2,Form_PrimeiraFase!$C$2:$FB$69,140,FALSE)</f>
        <v>Bayern de Munique</v>
      </c>
      <c r="O146" s="32" t="str">
        <f>VLOOKUP($O$2,Form_PrimeiraFase!$C$2:$FB$69,140,FALSE)</f>
        <v>Bayern de Munique</v>
      </c>
      <c r="P146" s="32" t="str">
        <f>VLOOKUP($P$2,Form_PrimeiraFase!$C$2:$FB$69,140,FALSE)</f>
        <v>Bayern de Munique</v>
      </c>
      <c r="Q146" s="32" t="str">
        <f>VLOOKUP($Q$2,Form_PrimeiraFase!$C$2:$FB$69,140,FALSE)</f>
        <v>Bayern de Munique</v>
      </c>
      <c r="R146" s="32" t="str">
        <f>VLOOKUP($R$2,Form_PrimeiraFase!$C$2:$FB$69,140,FALSE)</f>
        <v>PSV Eindhoven</v>
      </c>
      <c r="S146" s="32" t="str">
        <f>VLOOKUP($S$2,Form_PrimeiraFase!$C$2:$FB$69,140,FALSE)</f>
        <v>Bayern de Munique</v>
      </c>
      <c r="T146" s="32" t="str">
        <f>VLOOKUP($T$2,Form_PrimeiraFase!$C$2:$FB$69,140,FALSE)</f>
        <v>PSV Eindhoven</v>
      </c>
      <c r="U146" s="32" t="str">
        <f>VLOOKUP($U$2,Form_PrimeiraFase!$C$2:$FB$69,140,FALSE)</f>
        <v>Bayern de Munique</v>
      </c>
      <c r="V146" s="32" t="str">
        <f>VLOOKUP($V$2,Form_PrimeiraFase!$C$2:$FB$69,140,FALSE)</f>
        <v>Bayern de Munique</v>
      </c>
      <c r="W146" s="32" t="str">
        <f>VLOOKUP($W$2,Form_PrimeiraFase!$C$2:$FB$69,140,FALSE)</f>
        <v>Bayern de Munique</v>
      </c>
      <c r="X146" s="33">
        <f t="shared" ref="X146:Y146" si="441">COUNTIF($C146:$W146,J146)</f>
        <v>18</v>
      </c>
      <c r="Y146" s="33">
        <f t="shared" si="441"/>
        <v>3</v>
      </c>
      <c r="Z146" s="33">
        <f t="shared" si="9"/>
        <v>3</v>
      </c>
      <c r="AA146" s="33">
        <f t="shared" si="10"/>
        <v>18</v>
      </c>
      <c r="AB146" s="33">
        <f t="shared" ref="AB146:AC146" si="442">COUNTIF($C146:$W146,N146)</f>
        <v>18</v>
      </c>
      <c r="AC146" s="33">
        <f t="shared" si="442"/>
        <v>18</v>
      </c>
      <c r="AD146" s="33">
        <f t="shared" si="12"/>
        <v>18</v>
      </c>
      <c r="AE146" s="33">
        <f t="shared" si="13"/>
        <v>18</v>
      </c>
      <c r="AF146" s="33">
        <f t="shared" si="14"/>
        <v>18</v>
      </c>
      <c r="AG146" s="33">
        <f t="shared" si="15"/>
        <v>18</v>
      </c>
      <c r="AH146" s="33">
        <f t="shared" si="16"/>
        <v>18</v>
      </c>
      <c r="AI146" s="33">
        <f t="shared" si="17"/>
        <v>18</v>
      </c>
      <c r="AJ146" s="33">
        <f t="shared" si="18"/>
        <v>18</v>
      </c>
      <c r="AK146" s="33">
        <f t="shared" si="19"/>
        <v>18</v>
      </c>
      <c r="AL146" s="33">
        <f t="shared" si="20"/>
        <v>18</v>
      </c>
      <c r="AM146" s="33">
        <f t="shared" si="21"/>
        <v>18</v>
      </c>
      <c r="AN146" s="33">
        <f t="shared" si="22"/>
        <v>18</v>
      </c>
      <c r="AO146" s="33">
        <f t="shared" ref="AO146:AR146" si="443">COUNTIF($C146:$W146,T146)</f>
        <v>3</v>
      </c>
      <c r="AP146" s="33">
        <f t="shared" si="443"/>
        <v>18</v>
      </c>
      <c r="AQ146" s="33">
        <f t="shared" si="443"/>
        <v>18</v>
      </c>
      <c r="AR146" s="33">
        <f t="shared" si="443"/>
        <v>18</v>
      </c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ht="12.75" customHeight="1">
      <c r="A147" s="30" t="s">
        <v>78</v>
      </c>
      <c r="B147" s="31" t="s">
        <v>42</v>
      </c>
      <c r="C147" s="32" t="str">
        <f>VLOOKUP($C$2,Form_PrimeiraFase!$C$2:$FB$69,141,FALSE)</f>
        <v>Juventus</v>
      </c>
      <c r="D147" s="32" t="str">
        <f>VLOOKUP($D$2,Form_PrimeiraFase!$C$2:$FB$69,141,FALSE)</f>
        <v>Juventus</v>
      </c>
      <c r="E147" s="32" t="str">
        <f>VLOOKUP($E$2,Form_PrimeiraFase!$C$2:$FB$69,141,FALSE)</f>
        <v>Monaco</v>
      </c>
      <c r="F147" s="32" t="str">
        <f>VLOOKUP($F$2,Form_PrimeiraFase!$C$2:$FB$69,141,FALSE)</f>
        <v>Juventus</v>
      </c>
      <c r="G147" s="32" t="str">
        <f>VLOOKUP($G$2,Form_PrimeiraFase!$C$2:$FB$69,141,FALSE)</f>
        <v>Monaco</v>
      </c>
      <c r="H147" s="32" t="str">
        <f>VLOOKUP($H$2,Form_PrimeiraFase!$C$2:$FB$69,141,FALSE)</f>
        <v>Monaco</v>
      </c>
      <c r="I147" s="32" t="str">
        <f>VLOOKUP($I$2,Form_PrimeiraFase!$C$2:$FB$69,141,FALSE)</f>
        <v>Juventus</v>
      </c>
      <c r="J147" s="32" t="str">
        <f>VLOOKUP($J$2,Form_PrimeiraFase!$C$2:$FB$69,141,FALSE)</f>
        <v>Juventus</v>
      </c>
      <c r="K147" s="32" t="str">
        <f>VLOOKUP($K$2,Form_PrimeiraFase!$C$2:$FB$69,141,FALSE)</f>
        <v>Monaco</v>
      </c>
      <c r="L147" s="32" t="str">
        <f>VLOOKUP($L$2,Form_PrimeiraFase!$C$2:$FB$69,141,FALSE)</f>
        <v>Juventus</v>
      </c>
      <c r="M147" s="32" t="str">
        <f>VLOOKUP($M$2,Form_PrimeiraFase!$C$2:$FB$69,141,FALSE)</f>
        <v>Empate</v>
      </c>
      <c r="N147" s="32" t="str">
        <f>VLOOKUP($N$2,Form_PrimeiraFase!$C$2:$FB$69,141,FALSE)</f>
        <v>Empate</v>
      </c>
      <c r="O147" s="32" t="str">
        <f>VLOOKUP($O$2,Form_PrimeiraFase!$C$2:$FB$69,141,FALSE)</f>
        <v>Empate</v>
      </c>
      <c r="P147" s="32" t="str">
        <f>VLOOKUP($P$2,Form_PrimeiraFase!$C$2:$FB$69,141,FALSE)</f>
        <v>Empate</v>
      </c>
      <c r="Q147" s="32" t="str">
        <f>VLOOKUP($Q$2,Form_PrimeiraFase!$C$2:$FB$69,141,FALSE)</f>
        <v>Empate</v>
      </c>
      <c r="R147" s="32" t="str">
        <f>VLOOKUP($R$2,Form_PrimeiraFase!$C$2:$FB$69,141,FALSE)</f>
        <v>Monaco</v>
      </c>
      <c r="S147" s="32" t="str">
        <f>VLOOKUP($S$2,Form_PrimeiraFase!$C$2:$FB$69,141,FALSE)</f>
        <v>Juventus</v>
      </c>
      <c r="T147" s="32" t="str">
        <f>VLOOKUP($T$2,Form_PrimeiraFase!$C$2:$FB$69,141,FALSE)</f>
        <v>Monaco</v>
      </c>
      <c r="U147" s="32" t="str">
        <f>VLOOKUP($U$2,Form_PrimeiraFase!$C$2:$FB$69,141,FALSE)</f>
        <v>Empate</v>
      </c>
      <c r="V147" s="32" t="str">
        <f>VLOOKUP($V$2,Form_PrimeiraFase!$C$2:$FB$69,141,FALSE)</f>
        <v>Juventus</v>
      </c>
      <c r="W147" s="32" t="str">
        <f>VLOOKUP($W$2,Form_PrimeiraFase!$C$2:$FB$69,141,FALSE)</f>
        <v>Juventus</v>
      </c>
      <c r="X147" s="33">
        <f t="shared" ref="X147:Y147" si="444">COUNTIF($C147:$W147,J147)</f>
        <v>9</v>
      </c>
      <c r="Y147" s="33">
        <f t="shared" si="444"/>
        <v>6</v>
      </c>
      <c r="Z147" s="33">
        <f t="shared" si="9"/>
        <v>6</v>
      </c>
      <c r="AA147" s="33">
        <f t="shared" si="10"/>
        <v>9</v>
      </c>
      <c r="AB147" s="33">
        <f t="shared" ref="AB147:AC147" si="445">COUNTIF($C147:$W147,N147)</f>
        <v>6</v>
      </c>
      <c r="AC147" s="33">
        <f t="shared" si="445"/>
        <v>6</v>
      </c>
      <c r="AD147" s="33">
        <f t="shared" si="12"/>
        <v>6</v>
      </c>
      <c r="AE147" s="33">
        <f t="shared" si="13"/>
        <v>9</v>
      </c>
      <c r="AF147" s="33">
        <f t="shared" si="14"/>
        <v>6</v>
      </c>
      <c r="AG147" s="33">
        <f t="shared" si="15"/>
        <v>9</v>
      </c>
      <c r="AH147" s="33">
        <f t="shared" si="16"/>
        <v>9</v>
      </c>
      <c r="AI147" s="33">
        <f t="shared" si="17"/>
        <v>6</v>
      </c>
      <c r="AJ147" s="33">
        <f t="shared" si="18"/>
        <v>6</v>
      </c>
      <c r="AK147" s="33">
        <f t="shared" si="19"/>
        <v>9</v>
      </c>
      <c r="AL147" s="33">
        <f t="shared" si="20"/>
        <v>6</v>
      </c>
      <c r="AM147" s="33">
        <f t="shared" si="21"/>
        <v>9</v>
      </c>
      <c r="AN147" s="33">
        <f t="shared" si="22"/>
        <v>6</v>
      </c>
      <c r="AO147" s="33">
        <f t="shared" ref="AO147:AR147" si="446">COUNTIF($C147:$W147,T147)</f>
        <v>6</v>
      </c>
      <c r="AP147" s="33">
        <f t="shared" si="446"/>
        <v>6</v>
      </c>
      <c r="AQ147" s="33">
        <f t="shared" si="446"/>
        <v>9</v>
      </c>
      <c r="AR147" s="33">
        <f t="shared" si="446"/>
        <v>9</v>
      </c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</row>
    <row r="148" ht="12.75" customHeight="1">
      <c r="A148" s="30" t="s">
        <v>78</v>
      </c>
      <c r="B148" s="31" t="s">
        <v>38</v>
      </c>
      <c r="C148" s="32" t="str">
        <f>VLOOKUP($C$2,Form_PrimeiraFase!$C$2:$FB$69,142,FALSE)</f>
        <v>Empate</v>
      </c>
      <c r="D148" s="32" t="str">
        <f>VLOOKUP($D$2,Form_PrimeiraFase!$C$2:$FB$69,142,FALSE)</f>
        <v>Atalanta</v>
      </c>
      <c r="E148" s="32" t="str">
        <f>VLOOKUP($E$2,Form_PrimeiraFase!$C$2:$FB$69,142,FALSE)</f>
        <v>Union Saint-Gilloise</v>
      </c>
      <c r="F148" s="32" t="str">
        <f>VLOOKUP($F$2,Form_PrimeiraFase!$C$2:$FB$69,142,FALSE)</f>
        <v>Atalanta</v>
      </c>
      <c r="G148" s="32" t="str">
        <f>VLOOKUP($G$2,Form_PrimeiraFase!$C$2:$FB$69,142,FALSE)</f>
        <v>Atalanta</v>
      </c>
      <c r="H148" s="32" t="str">
        <f>VLOOKUP($H$2,Form_PrimeiraFase!$C$2:$FB$69,142,FALSE)</f>
        <v>Atalanta</v>
      </c>
      <c r="I148" s="32" t="str">
        <f>VLOOKUP($I$2,Form_PrimeiraFase!$C$2:$FB$69,142,FALSE)</f>
        <v>Atalanta</v>
      </c>
      <c r="J148" s="32" t="str">
        <f>VLOOKUP($J$2,Form_PrimeiraFase!$C$2:$FB$69,142,FALSE)</f>
        <v>Atalanta</v>
      </c>
      <c r="K148" s="32" t="str">
        <f>VLOOKUP($K$2,Form_PrimeiraFase!$C$2:$FB$69,142,FALSE)</f>
        <v>Atalanta</v>
      </c>
      <c r="L148" s="32" t="str">
        <f>VLOOKUP($L$2,Form_PrimeiraFase!$C$2:$FB$69,142,FALSE)</f>
        <v>Atalanta</v>
      </c>
      <c r="M148" s="32" t="str">
        <f>VLOOKUP($M$2,Form_PrimeiraFase!$C$2:$FB$69,142,FALSE)</f>
        <v>Atalanta</v>
      </c>
      <c r="N148" s="32" t="str">
        <f>VLOOKUP($N$2,Form_PrimeiraFase!$C$2:$FB$69,142,FALSE)</f>
        <v>Atalanta</v>
      </c>
      <c r="O148" s="32" t="str">
        <f>VLOOKUP($O$2,Form_PrimeiraFase!$C$2:$FB$69,142,FALSE)</f>
        <v>Empate</v>
      </c>
      <c r="P148" s="32" t="str">
        <f>VLOOKUP($P$2,Form_PrimeiraFase!$C$2:$FB$69,142,FALSE)</f>
        <v>Atalanta</v>
      </c>
      <c r="Q148" s="32" t="str">
        <f>VLOOKUP($Q$2,Form_PrimeiraFase!$C$2:$FB$69,142,FALSE)</f>
        <v>Atalanta</v>
      </c>
      <c r="R148" s="32" t="str">
        <f>VLOOKUP($R$2,Form_PrimeiraFase!$C$2:$FB$69,142,FALSE)</f>
        <v>Atalanta</v>
      </c>
      <c r="S148" s="32" t="str">
        <f>VLOOKUP($S$2,Form_PrimeiraFase!$C$2:$FB$69,142,FALSE)</f>
        <v>Atalanta</v>
      </c>
      <c r="T148" s="32" t="str">
        <f>VLOOKUP($T$2,Form_PrimeiraFase!$C$2:$FB$69,142,FALSE)</f>
        <v>Union Saint-Gilloise</v>
      </c>
      <c r="U148" s="32" t="str">
        <f>VLOOKUP($U$2,Form_PrimeiraFase!$C$2:$FB$69,142,FALSE)</f>
        <v>Atalanta</v>
      </c>
      <c r="V148" s="32" t="str">
        <f>VLOOKUP($V$2,Form_PrimeiraFase!$C$2:$FB$69,142,FALSE)</f>
        <v>Empate</v>
      </c>
      <c r="W148" s="32" t="str">
        <f>VLOOKUP($W$2,Form_PrimeiraFase!$C$2:$FB$69,142,FALSE)</f>
        <v>Atalanta</v>
      </c>
      <c r="X148" s="33">
        <f t="shared" ref="X148:Y148" si="447">COUNTIF($C148:$W148,J148)</f>
        <v>16</v>
      </c>
      <c r="Y148" s="33">
        <f t="shared" si="447"/>
        <v>16</v>
      </c>
      <c r="Z148" s="33">
        <f t="shared" si="9"/>
        <v>16</v>
      </c>
      <c r="AA148" s="33">
        <f t="shared" si="10"/>
        <v>16</v>
      </c>
      <c r="AB148" s="33">
        <f t="shared" ref="AB148:AC148" si="448">COUNTIF($C148:$W148,N148)</f>
        <v>16</v>
      </c>
      <c r="AC148" s="33">
        <f t="shared" si="448"/>
        <v>3</v>
      </c>
      <c r="AD148" s="33">
        <f t="shared" si="12"/>
        <v>16</v>
      </c>
      <c r="AE148" s="33">
        <f t="shared" si="13"/>
        <v>16</v>
      </c>
      <c r="AF148" s="33">
        <f t="shared" si="14"/>
        <v>2</v>
      </c>
      <c r="AG148" s="33">
        <f t="shared" si="15"/>
        <v>16</v>
      </c>
      <c r="AH148" s="33">
        <f t="shared" si="16"/>
        <v>3</v>
      </c>
      <c r="AI148" s="33">
        <f t="shared" si="17"/>
        <v>16</v>
      </c>
      <c r="AJ148" s="33">
        <f t="shared" si="18"/>
        <v>16</v>
      </c>
      <c r="AK148" s="33">
        <f t="shared" si="19"/>
        <v>16</v>
      </c>
      <c r="AL148" s="33">
        <f t="shared" si="20"/>
        <v>16</v>
      </c>
      <c r="AM148" s="33">
        <f t="shared" si="21"/>
        <v>16</v>
      </c>
      <c r="AN148" s="33">
        <f t="shared" si="22"/>
        <v>16</v>
      </c>
      <c r="AO148" s="33">
        <f t="shared" ref="AO148:AR148" si="449">COUNTIF($C148:$W148,T148)</f>
        <v>2</v>
      </c>
      <c r="AP148" s="33">
        <f t="shared" si="449"/>
        <v>16</v>
      </c>
      <c r="AQ148" s="33">
        <f t="shared" si="449"/>
        <v>3</v>
      </c>
      <c r="AR148" s="33">
        <f t="shared" si="449"/>
        <v>16</v>
      </c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ht="12.75" customHeight="1">
      <c r="A149" s="30" t="s">
        <v>78</v>
      </c>
      <c r="B149" s="31" t="s">
        <v>51</v>
      </c>
      <c r="C149" s="32" t="str">
        <f>VLOOKUP($C$2,Form_PrimeiraFase!$C$2:$FB$69,143,FALSE)</f>
        <v>Athletic Bilbao</v>
      </c>
      <c r="D149" s="32" t="str">
        <f>VLOOKUP($D$2,Form_PrimeiraFase!$C$2:$FB$69,143,FALSE)</f>
        <v>Athletic Bilbao</v>
      </c>
      <c r="E149" s="32" t="str">
        <f>VLOOKUP($E$2,Form_PrimeiraFase!$C$2:$FB$69,143,FALSE)</f>
        <v>Athletic Bilbao</v>
      </c>
      <c r="F149" s="32" t="str">
        <f>VLOOKUP($F$2,Form_PrimeiraFase!$C$2:$FB$69,143,FALSE)</f>
        <v>Athletic Bilbao</v>
      </c>
      <c r="G149" s="32" t="str">
        <f>VLOOKUP($G$2,Form_PrimeiraFase!$C$2:$FB$69,143,FALSE)</f>
        <v>Athletic Bilbao</v>
      </c>
      <c r="H149" s="32" t="str">
        <f>VLOOKUP($H$2,Form_PrimeiraFase!$C$2:$FB$69,143,FALSE)</f>
        <v>Sporting</v>
      </c>
      <c r="I149" s="32" t="str">
        <f>VLOOKUP($I$2,Form_PrimeiraFase!$C$2:$FB$69,143,FALSE)</f>
        <v>Athletic Bilbao</v>
      </c>
      <c r="J149" s="32" t="str">
        <f>VLOOKUP($J$2,Form_PrimeiraFase!$C$2:$FB$69,143,FALSE)</f>
        <v>Athletic Bilbao</v>
      </c>
      <c r="K149" s="32" t="str">
        <f>VLOOKUP($K$2,Form_PrimeiraFase!$C$2:$FB$69,143,FALSE)</f>
        <v>Athletic Bilbao</v>
      </c>
      <c r="L149" s="32" t="str">
        <f>VLOOKUP($L$2,Form_PrimeiraFase!$C$2:$FB$69,143,FALSE)</f>
        <v>Athletic Bilbao</v>
      </c>
      <c r="M149" s="32" t="str">
        <f>VLOOKUP($M$2,Form_PrimeiraFase!$C$2:$FB$69,143,FALSE)</f>
        <v>Sporting</v>
      </c>
      <c r="N149" s="32" t="str">
        <f>VLOOKUP($N$2,Form_PrimeiraFase!$C$2:$FB$69,143,FALSE)</f>
        <v>Athletic Bilbao</v>
      </c>
      <c r="O149" s="32" t="str">
        <f>VLOOKUP($O$2,Form_PrimeiraFase!$C$2:$FB$69,143,FALSE)</f>
        <v>Empate</v>
      </c>
      <c r="P149" s="32" t="str">
        <f>VLOOKUP($P$2,Form_PrimeiraFase!$C$2:$FB$69,143,FALSE)</f>
        <v>Athletic Bilbao</v>
      </c>
      <c r="Q149" s="32" t="str">
        <f>VLOOKUP($Q$2,Form_PrimeiraFase!$C$2:$FB$69,143,FALSE)</f>
        <v>Athletic Bilbao</v>
      </c>
      <c r="R149" s="32" t="str">
        <f>VLOOKUP($R$2,Form_PrimeiraFase!$C$2:$FB$69,143,FALSE)</f>
        <v>Athletic Bilbao</v>
      </c>
      <c r="S149" s="32" t="str">
        <f>VLOOKUP($S$2,Form_PrimeiraFase!$C$2:$FB$69,143,FALSE)</f>
        <v>Athletic Bilbao</v>
      </c>
      <c r="T149" s="32" t="str">
        <f>VLOOKUP($T$2,Form_PrimeiraFase!$C$2:$FB$69,143,FALSE)</f>
        <v>Athletic Bilbao</v>
      </c>
      <c r="U149" s="32" t="str">
        <f>VLOOKUP($U$2,Form_PrimeiraFase!$C$2:$FB$69,143,FALSE)</f>
        <v>Athletic Bilbao</v>
      </c>
      <c r="V149" s="32" t="str">
        <f>VLOOKUP($V$2,Form_PrimeiraFase!$C$2:$FB$69,143,FALSE)</f>
        <v>Sporting</v>
      </c>
      <c r="W149" s="32" t="str">
        <f>VLOOKUP($W$2,Form_PrimeiraFase!$C$2:$FB$69,143,FALSE)</f>
        <v>Athletic Bilbao</v>
      </c>
      <c r="X149" s="33">
        <f t="shared" ref="X149:Y149" si="450">COUNTIF($C149:$W149,J149)</f>
        <v>17</v>
      </c>
      <c r="Y149" s="33">
        <f t="shared" si="450"/>
        <v>17</v>
      </c>
      <c r="Z149" s="33">
        <f t="shared" si="9"/>
        <v>17</v>
      </c>
      <c r="AA149" s="33">
        <f t="shared" si="10"/>
        <v>17</v>
      </c>
      <c r="AB149" s="33">
        <f t="shared" ref="AB149:AC149" si="451">COUNTIF($C149:$W149,N149)</f>
        <v>17</v>
      </c>
      <c r="AC149" s="33">
        <f t="shared" si="451"/>
        <v>1</v>
      </c>
      <c r="AD149" s="33">
        <f t="shared" si="12"/>
        <v>17</v>
      </c>
      <c r="AE149" s="33">
        <f t="shared" si="13"/>
        <v>17</v>
      </c>
      <c r="AF149" s="33">
        <f t="shared" si="14"/>
        <v>17</v>
      </c>
      <c r="AG149" s="33">
        <f t="shared" si="15"/>
        <v>17</v>
      </c>
      <c r="AH149" s="33">
        <f t="shared" si="16"/>
        <v>17</v>
      </c>
      <c r="AI149" s="33">
        <f t="shared" si="17"/>
        <v>17</v>
      </c>
      <c r="AJ149" s="33">
        <f t="shared" si="18"/>
        <v>3</v>
      </c>
      <c r="AK149" s="33">
        <f t="shared" si="19"/>
        <v>17</v>
      </c>
      <c r="AL149" s="33">
        <f t="shared" si="20"/>
        <v>17</v>
      </c>
      <c r="AM149" s="33">
        <f t="shared" si="21"/>
        <v>17</v>
      </c>
      <c r="AN149" s="33">
        <f t="shared" si="22"/>
        <v>3</v>
      </c>
      <c r="AO149" s="33">
        <f t="shared" ref="AO149:AR149" si="452">COUNTIF($C149:$W149,T149)</f>
        <v>17</v>
      </c>
      <c r="AP149" s="33">
        <f t="shared" si="452"/>
        <v>17</v>
      </c>
      <c r="AQ149" s="33">
        <f t="shared" si="452"/>
        <v>3</v>
      </c>
      <c r="AR149" s="33">
        <f t="shared" si="452"/>
        <v>17</v>
      </c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ht="12.75" customHeight="1">
      <c r="A150" s="30" t="s">
        <v>78</v>
      </c>
      <c r="B150" s="31" t="s">
        <v>74</v>
      </c>
      <c r="C150" s="32" t="str">
        <f>VLOOKUP($C$2,Form_PrimeiraFase!$C$2:$FB$69,144,FALSE)</f>
        <v>Ajax</v>
      </c>
      <c r="D150" s="32" t="str">
        <f>VLOOKUP($D$2,Form_PrimeiraFase!$C$2:$FB$69,144,FALSE)</f>
        <v>Ajax</v>
      </c>
      <c r="E150" s="32" t="str">
        <f>VLOOKUP($E$2,Form_PrimeiraFase!$C$2:$FB$69,144,FALSE)</f>
        <v>Ajax</v>
      </c>
      <c r="F150" s="32" t="str">
        <f>VLOOKUP($F$2,Form_PrimeiraFase!$C$2:$FB$69,144,FALSE)</f>
        <v>Ajax</v>
      </c>
      <c r="G150" s="32" t="str">
        <f>VLOOKUP($G$2,Form_PrimeiraFase!$C$2:$FB$69,144,FALSE)</f>
        <v>Ajax</v>
      </c>
      <c r="H150" s="32" t="str">
        <f>VLOOKUP($H$2,Form_PrimeiraFase!$C$2:$FB$69,144,FALSE)</f>
        <v>Ajax</v>
      </c>
      <c r="I150" s="32" t="str">
        <f>VLOOKUP($I$2,Form_PrimeiraFase!$C$2:$FB$69,144,FALSE)</f>
        <v>Ajax</v>
      </c>
      <c r="J150" s="32" t="str">
        <f>VLOOKUP($J$2,Form_PrimeiraFase!$C$2:$FB$69,144,FALSE)</f>
        <v>Ajax</v>
      </c>
      <c r="K150" s="32" t="str">
        <f>VLOOKUP($K$2,Form_PrimeiraFase!$C$2:$FB$69,144,FALSE)</f>
        <v>Ajax</v>
      </c>
      <c r="L150" s="32" t="str">
        <f>VLOOKUP($L$2,Form_PrimeiraFase!$C$2:$FB$69,144,FALSE)</f>
        <v>Ajax</v>
      </c>
      <c r="M150" s="32" t="str">
        <f>VLOOKUP($M$2,Form_PrimeiraFase!$C$2:$FB$69,144,FALSE)</f>
        <v>Ajax</v>
      </c>
      <c r="N150" s="32" t="str">
        <f>VLOOKUP($N$2,Form_PrimeiraFase!$C$2:$FB$69,144,FALSE)</f>
        <v>Ajax</v>
      </c>
      <c r="O150" s="32" t="str">
        <f>VLOOKUP($O$2,Form_PrimeiraFase!$C$2:$FB$69,144,FALSE)</f>
        <v>Empate</v>
      </c>
      <c r="P150" s="32" t="str">
        <f>VLOOKUP($P$2,Form_PrimeiraFase!$C$2:$FB$69,144,FALSE)</f>
        <v>Ajax</v>
      </c>
      <c r="Q150" s="32" t="str">
        <f>VLOOKUP($Q$2,Form_PrimeiraFase!$C$2:$FB$69,144,FALSE)</f>
        <v>Ajax</v>
      </c>
      <c r="R150" s="32" t="str">
        <f>VLOOKUP($R$2,Form_PrimeiraFase!$C$2:$FB$69,144,FALSE)</f>
        <v>Ajax</v>
      </c>
      <c r="S150" s="32" t="str">
        <f>VLOOKUP($S$2,Form_PrimeiraFase!$C$2:$FB$69,144,FALSE)</f>
        <v>Ajax</v>
      </c>
      <c r="T150" s="32" t="str">
        <f>VLOOKUP($T$2,Form_PrimeiraFase!$C$2:$FB$69,144,FALSE)</f>
        <v>Ajax</v>
      </c>
      <c r="U150" s="32" t="str">
        <f>VLOOKUP($U$2,Form_PrimeiraFase!$C$2:$FB$69,144,FALSE)</f>
        <v>Ajax</v>
      </c>
      <c r="V150" s="32" t="str">
        <f>VLOOKUP($V$2,Form_PrimeiraFase!$C$2:$FB$69,144,FALSE)</f>
        <v>Ajax</v>
      </c>
      <c r="W150" s="32" t="str">
        <f>VLOOKUP($W$2,Form_PrimeiraFase!$C$2:$FB$69,144,FALSE)</f>
        <v>Ajax</v>
      </c>
      <c r="X150" s="33">
        <f t="shared" ref="X150:Y150" si="453">COUNTIF($C150:$W150,J150)</f>
        <v>20</v>
      </c>
      <c r="Y150" s="33">
        <f t="shared" si="453"/>
        <v>20</v>
      </c>
      <c r="Z150" s="33">
        <f t="shared" si="9"/>
        <v>20</v>
      </c>
      <c r="AA150" s="33">
        <f t="shared" si="10"/>
        <v>20</v>
      </c>
      <c r="AB150" s="33">
        <f t="shared" ref="AB150:AC150" si="454">COUNTIF($C150:$W150,N150)</f>
        <v>20</v>
      </c>
      <c r="AC150" s="33">
        <f t="shared" si="454"/>
        <v>1</v>
      </c>
      <c r="AD150" s="33">
        <f t="shared" si="12"/>
        <v>20</v>
      </c>
      <c r="AE150" s="33">
        <f t="shared" si="13"/>
        <v>20</v>
      </c>
      <c r="AF150" s="33">
        <f t="shared" si="14"/>
        <v>20</v>
      </c>
      <c r="AG150" s="33">
        <f t="shared" si="15"/>
        <v>20</v>
      </c>
      <c r="AH150" s="33">
        <f t="shared" si="16"/>
        <v>20</v>
      </c>
      <c r="AI150" s="33">
        <f t="shared" si="17"/>
        <v>20</v>
      </c>
      <c r="AJ150" s="33">
        <f t="shared" si="18"/>
        <v>20</v>
      </c>
      <c r="AK150" s="33">
        <f t="shared" si="19"/>
        <v>20</v>
      </c>
      <c r="AL150" s="33">
        <f t="shared" si="20"/>
        <v>20</v>
      </c>
      <c r="AM150" s="33">
        <f t="shared" si="21"/>
        <v>20</v>
      </c>
      <c r="AN150" s="33">
        <f t="shared" si="22"/>
        <v>20</v>
      </c>
      <c r="AO150" s="33">
        <f t="shared" ref="AO150:AR150" si="455">COUNTIF($C150:$W150,T150)</f>
        <v>20</v>
      </c>
      <c r="AP150" s="33">
        <f t="shared" si="455"/>
        <v>20</v>
      </c>
      <c r="AQ150" s="33">
        <f t="shared" si="455"/>
        <v>20</v>
      </c>
      <c r="AR150" s="33">
        <f t="shared" si="455"/>
        <v>20</v>
      </c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ht="12.75" customHeight="1">
      <c r="A151" s="30" t="s">
        <v>78</v>
      </c>
      <c r="B151" s="31" t="s">
        <v>55</v>
      </c>
      <c r="C151" s="32" t="str">
        <f>VLOOKUP($C$2,Form_PrimeiraFase!$C$2:$FB$69,145,FALSE)</f>
        <v>Napoli</v>
      </c>
      <c r="D151" s="32" t="str">
        <f>VLOOKUP($D$2,Form_PrimeiraFase!$C$2:$FB$69,145,FALSE)</f>
        <v>Chelsea</v>
      </c>
      <c r="E151" s="32" t="str">
        <f>VLOOKUP($E$2,Form_PrimeiraFase!$C$2:$FB$69,145,FALSE)</f>
        <v>Chelsea</v>
      </c>
      <c r="F151" s="32" t="str">
        <f>VLOOKUP($F$2,Form_PrimeiraFase!$C$2:$FB$69,145,FALSE)</f>
        <v>Chelsea</v>
      </c>
      <c r="G151" s="32" t="str">
        <f>VLOOKUP($G$2,Form_PrimeiraFase!$C$2:$FB$69,145,FALSE)</f>
        <v>Empate</v>
      </c>
      <c r="H151" s="32" t="str">
        <f>VLOOKUP($H$2,Form_PrimeiraFase!$C$2:$FB$69,145,FALSE)</f>
        <v>Chelsea</v>
      </c>
      <c r="I151" s="32" t="str">
        <f>VLOOKUP($I$2,Form_PrimeiraFase!$C$2:$FB$69,145,FALSE)</f>
        <v>Chelsea</v>
      </c>
      <c r="J151" s="32" t="str">
        <f>VLOOKUP($J$2,Form_PrimeiraFase!$C$2:$FB$69,145,FALSE)</f>
        <v>Napoli</v>
      </c>
      <c r="K151" s="32" t="str">
        <f>VLOOKUP($K$2,Form_PrimeiraFase!$C$2:$FB$69,145,FALSE)</f>
        <v>Chelsea</v>
      </c>
      <c r="L151" s="32" t="str">
        <f>VLOOKUP($L$2,Form_PrimeiraFase!$C$2:$FB$69,145,FALSE)</f>
        <v>Chelsea</v>
      </c>
      <c r="M151" s="32" t="str">
        <f>VLOOKUP($M$2,Form_PrimeiraFase!$C$2:$FB$69,145,FALSE)</f>
        <v>Chelsea</v>
      </c>
      <c r="N151" s="32" t="str">
        <f>VLOOKUP($N$2,Form_PrimeiraFase!$C$2:$FB$69,145,FALSE)</f>
        <v>Chelsea</v>
      </c>
      <c r="O151" s="32" t="str">
        <f>VLOOKUP($O$2,Form_PrimeiraFase!$C$2:$FB$69,145,FALSE)</f>
        <v>Empate</v>
      </c>
      <c r="P151" s="32" t="str">
        <f>VLOOKUP($P$2,Form_PrimeiraFase!$C$2:$FB$69,145,FALSE)</f>
        <v>Chelsea</v>
      </c>
      <c r="Q151" s="32" t="str">
        <f>VLOOKUP($Q$2,Form_PrimeiraFase!$C$2:$FB$69,145,FALSE)</f>
        <v>Napoli</v>
      </c>
      <c r="R151" s="32" t="str">
        <f>VLOOKUP($R$2,Form_PrimeiraFase!$C$2:$FB$69,145,FALSE)</f>
        <v>Empate</v>
      </c>
      <c r="S151" s="32" t="str">
        <f>VLOOKUP($S$2,Form_PrimeiraFase!$C$2:$FB$69,145,FALSE)</f>
        <v>Napoli</v>
      </c>
      <c r="T151" s="32" t="str">
        <f>VLOOKUP($T$2,Form_PrimeiraFase!$C$2:$FB$69,145,FALSE)</f>
        <v>Napoli</v>
      </c>
      <c r="U151" s="32" t="str">
        <f>VLOOKUP($U$2,Form_PrimeiraFase!$C$2:$FB$69,145,FALSE)</f>
        <v>Chelsea</v>
      </c>
      <c r="V151" s="32" t="str">
        <f>VLOOKUP($V$2,Form_PrimeiraFase!$C$2:$FB$69,145,FALSE)</f>
        <v>Chelsea</v>
      </c>
      <c r="W151" s="32" t="str">
        <f>VLOOKUP($W$2,Form_PrimeiraFase!$C$2:$FB$69,145,FALSE)</f>
        <v>Empate</v>
      </c>
      <c r="X151" s="33">
        <f t="shared" ref="X151:Y151" si="456">COUNTIF($C151:$W151,J151)</f>
        <v>5</v>
      </c>
      <c r="Y151" s="33">
        <f t="shared" si="456"/>
        <v>12</v>
      </c>
      <c r="Z151" s="33">
        <f t="shared" si="9"/>
        <v>4</v>
      </c>
      <c r="AA151" s="33">
        <f t="shared" si="10"/>
        <v>12</v>
      </c>
      <c r="AB151" s="33">
        <f t="shared" ref="AB151:AC151" si="457">COUNTIF($C151:$W151,N151)</f>
        <v>12</v>
      </c>
      <c r="AC151" s="33">
        <f t="shared" si="457"/>
        <v>4</v>
      </c>
      <c r="AD151" s="33">
        <f t="shared" si="12"/>
        <v>4</v>
      </c>
      <c r="AE151" s="33">
        <f t="shared" si="13"/>
        <v>12</v>
      </c>
      <c r="AF151" s="33">
        <f t="shared" si="14"/>
        <v>12</v>
      </c>
      <c r="AG151" s="33">
        <f t="shared" si="15"/>
        <v>5</v>
      </c>
      <c r="AH151" s="33">
        <f t="shared" si="16"/>
        <v>5</v>
      </c>
      <c r="AI151" s="33">
        <f t="shared" si="17"/>
        <v>12</v>
      </c>
      <c r="AJ151" s="33">
        <f t="shared" si="18"/>
        <v>12</v>
      </c>
      <c r="AK151" s="33">
        <f t="shared" si="19"/>
        <v>12</v>
      </c>
      <c r="AL151" s="33">
        <f t="shared" si="20"/>
        <v>5</v>
      </c>
      <c r="AM151" s="33">
        <f t="shared" si="21"/>
        <v>12</v>
      </c>
      <c r="AN151" s="33">
        <f t="shared" si="22"/>
        <v>12</v>
      </c>
      <c r="AO151" s="33">
        <f t="shared" ref="AO151:AR151" si="458">COUNTIF($C151:$W151,T151)</f>
        <v>5</v>
      </c>
      <c r="AP151" s="33">
        <f t="shared" si="458"/>
        <v>12</v>
      </c>
      <c r="AQ151" s="33">
        <f t="shared" si="458"/>
        <v>12</v>
      </c>
      <c r="AR151" s="33">
        <f t="shared" si="458"/>
        <v>4</v>
      </c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ht="12.75" customHeight="1">
      <c r="A152" s="30" t="s">
        <v>79</v>
      </c>
      <c r="B152" s="31" t="s">
        <v>39</v>
      </c>
      <c r="C152" s="32" t="str">
        <f>VLOOKUP($C$2,Form_PrimeiraFase!$C$2:$FB$69,146,FALSE)</f>
        <v>Real Madrid</v>
      </c>
      <c r="D152" s="32" t="str">
        <f>VLOOKUP($D$2,Form_PrimeiraFase!$C$2:$FB$69,146,FALSE)</f>
        <v>Barcelona</v>
      </c>
      <c r="E152" s="32" t="str">
        <f>VLOOKUP($E$2,Form_PrimeiraFase!$C$2:$FB$69,146,FALSE)</f>
        <v>Paris Saint-Germain</v>
      </c>
      <c r="F152" s="32" t="str">
        <f>VLOOKUP($F$2,Form_PrimeiraFase!$C$2:$FB$69,146,FALSE)</f>
        <v>Liverpool</v>
      </c>
      <c r="G152" s="32" t="str">
        <f>VLOOKUP($G$2,Form_PrimeiraFase!$C$2:$FB$69,146,FALSE)</f>
        <v>Barcelona</v>
      </c>
      <c r="H152" s="32" t="str">
        <f>VLOOKUP($H$2,Form_PrimeiraFase!$C$2:$FB$69,146,FALSE)</f>
        <v>Chelsea</v>
      </c>
      <c r="I152" s="32" t="str">
        <f>VLOOKUP($I$2,Form_PrimeiraFase!$C$2:$FB$69,146,FALSE)</f>
        <v>Chelsea</v>
      </c>
      <c r="J152" s="32" t="str">
        <f>VLOOKUP($J$2,Form_PrimeiraFase!$C$2:$FB$69,146,FALSE)</f>
        <v>Paris Saint-Germain</v>
      </c>
      <c r="K152" s="32" t="str">
        <f>VLOOKUP($K$2,Form_PrimeiraFase!$C$2:$FB$69,146,FALSE)</f>
        <v>Liverpool</v>
      </c>
      <c r="L152" s="32" t="str">
        <f>VLOOKUP($L$2,Form_PrimeiraFase!$C$2:$FB$69,146,FALSE)</f>
        <v>Barcelona</v>
      </c>
      <c r="M152" s="32" t="str">
        <f>VLOOKUP($M$2,Form_PrimeiraFase!$C$2:$FB$69,146,FALSE)</f>
        <v>Liverpool</v>
      </c>
      <c r="N152" s="32" t="str">
        <f>VLOOKUP($N$2,Form_PrimeiraFase!$C$2:$FB$69,146,FALSE)</f>
        <v>Barcelona</v>
      </c>
      <c r="O152" s="32" t="str">
        <f>VLOOKUP($O$2,Form_PrimeiraFase!$C$2:$FB$69,146,FALSE)</f>
        <v>Barcelona</v>
      </c>
      <c r="P152" s="32" t="str">
        <f>VLOOKUP($P$2,Form_PrimeiraFase!$C$2:$FB$69,146,FALSE)</f>
        <v>Barcelona</v>
      </c>
      <c r="Q152" s="32" t="str">
        <f>VLOOKUP($Q$2,Form_PrimeiraFase!$C$2:$FB$69,146,FALSE)</f>
        <v>Liverpool</v>
      </c>
      <c r="R152" s="32" t="str">
        <f>VLOOKUP($R$2,Form_PrimeiraFase!$C$2:$FB$69,146,FALSE)</f>
        <v>Paris Saint-Germain</v>
      </c>
      <c r="S152" s="32" t="str">
        <f>VLOOKUP($S$2,Form_PrimeiraFase!$C$2:$FB$69,146,FALSE)</f>
        <v>Barcelona</v>
      </c>
      <c r="T152" s="32" t="str">
        <f>VLOOKUP($T$2,Form_PrimeiraFase!$C$2:$FB$69,146,FALSE)</f>
        <v>Paris Saint-Germain</v>
      </c>
      <c r="U152" s="32" t="str">
        <f>VLOOKUP($U$2,Form_PrimeiraFase!$C$2:$FB$69,146,FALSE)</f>
        <v>Barcelona</v>
      </c>
      <c r="V152" s="32" t="str">
        <f>VLOOKUP($V$2,Form_PrimeiraFase!$C$2:$FB$69,146,FALSE)</f>
        <v>Real Madrid</v>
      </c>
      <c r="W152" s="32" t="str">
        <f>VLOOKUP($W$2,Form_PrimeiraFase!$C$2:$FB$69,146,FALSE)</f>
        <v>Barcelona</v>
      </c>
      <c r="X152" s="33">
        <f t="shared" ref="X152:Y152" si="459">COUNTIF($C152:$W159,J152)</f>
        <v>19</v>
      </c>
      <c r="Y152" s="33">
        <f t="shared" si="459"/>
        <v>17</v>
      </c>
      <c r="Z152" s="33">
        <f>COUNTIF($C152:$W159,R152)</f>
        <v>19</v>
      </c>
      <c r="AA152" s="33">
        <f>COUNTIF($C152:$W159,D152)</f>
        <v>20</v>
      </c>
      <c r="AB152" s="33">
        <f t="shared" ref="AB152:AC152" si="460">COUNTIF($C152:$W159,N152)</f>
        <v>20</v>
      </c>
      <c r="AC152" s="33">
        <f t="shared" si="460"/>
        <v>20</v>
      </c>
      <c r="AD152" s="33">
        <f>COUNTIF($C152:$W159,G152)</f>
        <v>20</v>
      </c>
      <c r="AE152" s="33">
        <f>COUNTIF($C152:$W159,F152)</f>
        <v>17</v>
      </c>
      <c r="AF152" s="33">
        <f>COUNTIF($C152:$W159,E152)</f>
        <v>19</v>
      </c>
      <c r="AG152" s="33">
        <f>COUNTIF($C152:$W159,S152)</f>
        <v>20</v>
      </c>
      <c r="AH152" s="33">
        <f>COUNTIF($C152:$W159,C152)</f>
        <v>20</v>
      </c>
      <c r="AI152" s="33">
        <f>COUNTIF($C152:$W159,P152)</f>
        <v>20</v>
      </c>
      <c r="AJ152" s="33">
        <f>COUNTIF($C152:$W159,M152)</f>
        <v>17</v>
      </c>
      <c r="AK152" s="33">
        <f>COUNTIF($C152:$W159,I152)</f>
        <v>17</v>
      </c>
      <c r="AL152" s="33">
        <f>COUNTIF($C152:$W159,Q152)</f>
        <v>17</v>
      </c>
      <c r="AM152" s="33">
        <f>COUNTIF($C152:$W159,L152)</f>
        <v>20</v>
      </c>
      <c r="AN152" s="33">
        <f>COUNTIF($C152:$W159,H152)</f>
        <v>17</v>
      </c>
      <c r="AO152" s="33">
        <f t="shared" ref="AO152:AR152" si="461">COUNTIF($C152:$W159,T152)</f>
        <v>19</v>
      </c>
      <c r="AP152" s="33">
        <f t="shared" si="461"/>
        <v>20</v>
      </c>
      <c r="AQ152" s="33">
        <f t="shared" si="461"/>
        <v>20</v>
      </c>
      <c r="AR152" s="33">
        <f t="shared" si="461"/>
        <v>20</v>
      </c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ht="12.75" customHeight="1">
      <c r="A153" s="30" t="s">
        <v>80</v>
      </c>
      <c r="B153" s="31" t="s">
        <v>45</v>
      </c>
      <c r="C153" s="32" t="str">
        <f>VLOOKUP($C$2,Form_PrimeiraFase!$C$2:$FB$69,147,FALSE)</f>
        <v>Paris Saint-Germain</v>
      </c>
      <c r="D153" s="32" t="str">
        <f>VLOOKUP($D$2,Form_PrimeiraFase!$C$2:$FB$69,147,FALSE)</f>
        <v>Liverpool</v>
      </c>
      <c r="E153" s="32" t="str">
        <f>VLOOKUP($E$2,Form_PrimeiraFase!$C$2:$FB$69,147,FALSE)</f>
        <v>Chelsea</v>
      </c>
      <c r="F153" s="32" t="str">
        <f>VLOOKUP($F$2,Form_PrimeiraFase!$C$2:$FB$69,147,FALSE)</f>
        <v>Paris Saint-Germain</v>
      </c>
      <c r="G153" s="32" t="str">
        <f>VLOOKUP($G$2,Form_PrimeiraFase!$C$2:$FB$69,147,FALSE)</f>
        <v>Paris Saint-Germain</v>
      </c>
      <c r="H153" s="32" t="str">
        <f>VLOOKUP($H$2,Form_PrimeiraFase!$C$2:$FB$69,147,FALSE)</f>
        <v>Barcelona</v>
      </c>
      <c r="I153" s="32" t="str">
        <f>VLOOKUP($I$2,Form_PrimeiraFase!$C$2:$FB$69,147,FALSE)</f>
        <v>Paris Saint-Germain</v>
      </c>
      <c r="J153" s="32" t="str">
        <f>VLOOKUP($J$2,Form_PrimeiraFase!$C$2:$FB$69,147,FALSE)</f>
        <v>Chelsea</v>
      </c>
      <c r="K153" s="32" t="str">
        <f>VLOOKUP($K$2,Form_PrimeiraFase!$C$2:$FB$69,147,FALSE)</f>
        <v>Barcelona</v>
      </c>
      <c r="L153" s="32" t="str">
        <f>VLOOKUP($L$2,Form_PrimeiraFase!$C$2:$FB$69,147,FALSE)</f>
        <v>Chelsea</v>
      </c>
      <c r="M153" s="32" t="str">
        <f>VLOOKUP($M$2,Form_PrimeiraFase!$C$2:$FB$69,147,FALSE)</f>
        <v>Chelsea</v>
      </c>
      <c r="N153" s="32" t="str">
        <f>VLOOKUP($N$2,Form_PrimeiraFase!$C$2:$FB$69,147,FALSE)</f>
        <v>Manchester City</v>
      </c>
      <c r="O153" s="32" t="str">
        <f>VLOOKUP($O$2,Form_PrimeiraFase!$C$2:$FB$69,147,FALSE)</f>
        <v>Liverpool</v>
      </c>
      <c r="P153" s="32" t="str">
        <f>VLOOKUP($P$2,Form_PrimeiraFase!$C$2:$FB$69,147,FALSE)</f>
        <v>Paris Saint-Germain</v>
      </c>
      <c r="Q153" s="32" t="str">
        <f>VLOOKUP($Q$2,Form_PrimeiraFase!$C$2:$FB$69,147,FALSE)</f>
        <v>Chelsea</v>
      </c>
      <c r="R153" s="32" t="str">
        <f>VLOOKUP($R$2,Form_PrimeiraFase!$C$2:$FB$69,147,FALSE)</f>
        <v>Bayern de Munique</v>
      </c>
      <c r="S153" s="32" t="str">
        <f>VLOOKUP($S$2,Form_PrimeiraFase!$C$2:$FB$69,147,FALSE)</f>
        <v>Liverpool</v>
      </c>
      <c r="T153" s="32" t="str">
        <f>VLOOKUP($T$2,Form_PrimeiraFase!$C$2:$FB$69,147,FALSE)</f>
        <v>Real Madrid</v>
      </c>
      <c r="U153" s="32" t="str">
        <f>VLOOKUP($U$2,Form_PrimeiraFase!$C$2:$FB$69,147,FALSE)</f>
        <v>Chelsea</v>
      </c>
      <c r="V153" s="32" t="str">
        <f>VLOOKUP($V$2,Form_PrimeiraFase!$C$2:$FB$69,147,FALSE)</f>
        <v>Manchester City</v>
      </c>
      <c r="W153" s="32" t="str">
        <f>VLOOKUP($W$2,Form_PrimeiraFase!$C$2:$FB$69,147,FALSE)</f>
        <v>Real Madrid</v>
      </c>
      <c r="X153" s="33">
        <f t="shared" ref="X153:Y153" si="462">COUNTIF($C152:$W159,J153)</f>
        <v>17</v>
      </c>
      <c r="Y153" s="33">
        <f t="shared" si="462"/>
        <v>20</v>
      </c>
      <c r="Z153" s="33">
        <f>COUNTIF($C152:$W159,R153)</f>
        <v>19</v>
      </c>
      <c r="AA153" s="33">
        <f>COUNTIF($C152:$W159,D153)</f>
        <v>17</v>
      </c>
      <c r="AB153" s="33">
        <f t="shared" ref="AB153:AC153" si="463">COUNTIF($C152:$W159,N153)</f>
        <v>19</v>
      </c>
      <c r="AC153" s="33">
        <f t="shared" si="463"/>
        <v>17</v>
      </c>
      <c r="AD153" s="33">
        <f>COUNTIF($C152:$W159,G153)</f>
        <v>19</v>
      </c>
      <c r="AE153" s="33">
        <f>COUNTIF($C152:$W159,F153)</f>
        <v>19</v>
      </c>
      <c r="AF153" s="33">
        <f>COUNTIF($C152:$W159,E153)</f>
        <v>17</v>
      </c>
      <c r="AG153" s="33">
        <f>COUNTIF($C152:$W159,S153)</f>
        <v>17</v>
      </c>
      <c r="AH153" s="33">
        <f>COUNTIF($C152:$W159,C153)</f>
        <v>19</v>
      </c>
      <c r="AI153" s="33">
        <f>COUNTIF($C152:$W159,P153)</f>
        <v>19</v>
      </c>
      <c r="AJ153" s="33">
        <f>COUNTIF($C152:$W159,M153)</f>
        <v>17</v>
      </c>
      <c r="AK153" s="33">
        <f>COUNTIF($C152:$W159,I153)</f>
        <v>19</v>
      </c>
      <c r="AL153" s="33">
        <f>COUNTIF($C152:$W159,Q153)</f>
        <v>17</v>
      </c>
      <c r="AM153" s="33">
        <f>COUNTIF($C152:$W159,L153)</f>
        <v>17</v>
      </c>
      <c r="AN153" s="33">
        <f>COUNTIF($C152:$W159,H153)</f>
        <v>20</v>
      </c>
      <c r="AO153" s="33">
        <f t="shared" ref="AO153:AR153" si="464">COUNTIF($C152:$W159,T153)</f>
        <v>20</v>
      </c>
      <c r="AP153" s="33">
        <f t="shared" si="464"/>
        <v>17</v>
      </c>
      <c r="AQ153" s="33">
        <f t="shared" si="464"/>
        <v>19</v>
      </c>
      <c r="AR153" s="33">
        <f t="shared" si="464"/>
        <v>20</v>
      </c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ht="12.75" customHeight="1">
      <c r="A154" s="30" t="s">
        <v>81</v>
      </c>
      <c r="B154" s="31" t="s">
        <v>46</v>
      </c>
      <c r="C154" s="32" t="str">
        <f>VLOOKUP($C$2,Form_PrimeiraFase!$C$2:$FB$69,148,FALSE)</f>
        <v>Manchester City</v>
      </c>
      <c r="D154" s="32" t="str">
        <f>VLOOKUP($D$2,Form_PrimeiraFase!$C$2:$FB$69,148,FALSE)</f>
        <v>Real Madrid</v>
      </c>
      <c r="E154" s="32" t="str">
        <f>VLOOKUP($E$2,Form_PrimeiraFase!$C$2:$FB$69,148,FALSE)</f>
        <v>Liverpool</v>
      </c>
      <c r="F154" s="32" t="str">
        <f>VLOOKUP($F$2,Form_PrimeiraFase!$C$2:$FB$69,148,FALSE)</f>
        <v>Real Madrid</v>
      </c>
      <c r="G154" s="32" t="str">
        <f>VLOOKUP($G$2,Form_PrimeiraFase!$C$2:$FB$69,148,FALSE)</f>
        <v>Liverpool</v>
      </c>
      <c r="H154" s="32" t="str">
        <f>VLOOKUP($H$2,Form_PrimeiraFase!$C$2:$FB$69,148,FALSE)</f>
        <v>Real Madrid</v>
      </c>
      <c r="I154" s="32" t="str">
        <f>VLOOKUP($I$2,Form_PrimeiraFase!$C$2:$FB$69,148,FALSE)</f>
        <v>Real Madrid</v>
      </c>
      <c r="J154" s="32" t="str">
        <f>VLOOKUP($J$2,Form_PrimeiraFase!$C$2:$FB$69,148,FALSE)</f>
        <v>Barcelona</v>
      </c>
      <c r="K154" s="32" t="str">
        <f>VLOOKUP($K$2,Form_PrimeiraFase!$C$2:$FB$69,148,FALSE)</f>
        <v>Paris Saint-Germain</v>
      </c>
      <c r="L154" s="32" t="str">
        <f>VLOOKUP($L$2,Form_PrimeiraFase!$C$2:$FB$69,148,FALSE)</f>
        <v>Internazionale</v>
      </c>
      <c r="M154" s="32" t="str">
        <f>VLOOKUP($M$2,Form_PrimeiraFase!$C$2:$FB$69,148,FALSE)</f>
        <v>Paris Saint-Germain</v>
      </c>
      <c r="N154" s="32" t="str">
        <f>VLOOKUP($N$2,Form_PrimeiraFase!$C$2:$FB$69,148,FALSE)</f>
        <v>Paris Saint-Germain</v>
      </c>
      <c r="O154" s="32" t="str">
        <f>VLOOKUP($O$2,Form_PrimeiraFase!$C$2:$FB$69,148,FALSE)</f>
        <v>Manchester City</v>
      </c>
      <c r="P154" s="32" t="str">
        <f>VLOOKUP($P$2,Form_PrimeiraFase!$C$2:$FB$69,148,FALSE)</f>
        <v>Liverpool</v>
      </c>
      <c r="Q154" s="32" t="str">
        <f>VLOOKUP($Q$2,Form_PrimeiraFase!$C$2:$FB$69,148,FALSE)</f>
        <v>Barcelona</v>
      </c>
      <c r="R154" s="32" t="str">
        <f>VLOOKUP($R$2,Form_PrimeiraFase!$C$2:$FB$69,148,FALSE)</f>
        <v>Liverpool</v>
      </c>
      <c r="S154" s="32" t="str">
        <f>VLOOKUP($S$2,Form_PrimeiraFase!$C$2:$FB$69,148,FALSE)</f>
        <v>Manchester City</v>
      </c>
      <c r="T154" s="32" t="str">
        <f>VLOOKUP($T$2,Form_PrimeiraFase!$C$2:$FB$69,148,FALSE)</f>
        <v>Bayern de Munique</v>
      </c>
      <c r="U154" s="32" t="str">
        <f>VLOOKUP($U$2,Form_PrimeiraFase!$C$2:$FB$69,148,FALSE)</f>
        <v>Paris Saint-Germain</v>
      </c>
      <c r="V154" s="32" t="str">
        <f>VLOOKUP($V$2,Form_PrimeiraFase!$C$2:$FB$69,148,FALSE)</f>
        <v>Bayern de Munique</v>
      </c>
      <c r="W154" s="32" t="str">
        <f>VLOOKUP($W$2,Form_PrimeiraFase!$C$2:$FB$69,148,FALSE)</f>
        <v>Paris Saint-Germain</v>
      </c>
      <c r="X154" s="33">
        <f t="shared" ref="X154:Y154" si="465">COUNTIF($C152:$W159,J154)</f>
        <v>20</v>
      </c>
      <c r="Y154" s="33">
        <f t="shared" si="465"/>
        <v>19</v>
      </c>
      <c r="Z154" s="33">
        <f>COUNTIF($C152:$W159,R154)</f>
        <v>17</v>
      </c>
      <c r="AA154" s="33">
        <f>COUNTIF($C152:$W159,D154)</f>
        <v>20</v>
      </c>
      <c r="AB154" s="33">
        <f t="shared" ref="AB154:AC154" si="466">COUNTIF($C152:$W159,N154)</f>
        <v>19</v>
      </c>
      <c r="AC154" s="33">
        <f t="shared" si="466"/>
        <v>19</v>
      </c>
      <c r="AD154" s="33">
        <f>COUNTIF($C152:$W159,G154)</f>
        <v>17</v>
      </c>
      <c r="AE154" s="33">
        <f>COUNTIF($C152:$W159,F154)</f>
        <v>20</v>
      </c>
      <c r="AF154" s="33">
        <f>COUNTIF($C152:$W159,E154)</f>
        <v>17</v>
      </c>
      <c r="AG154" s="33">
        <f>COUNTIF($C152:$W159,S154)</f>
        <v>19</v>
      </c>
      <c r="AH154" s="33">
        <f>COUNTIF($C152:$W159,C154)</f>
        <v>19</v>
      </c>
      <c r="AI154" s="33">
        <f>COUNTIF($C152:$W159,P154)</f>
        <v>17</v>
      </c>
      <c r="AJ154" s="33">
        <f>COUNTIF($C152:$W159,M154)</f>
        <v>19</v>
      </c>
      <c r="AK154" s="33">
        <f>COUNTIF($C152:$W159,I154)</f>
        <v>20</v>
      </c>
      <c r="AL154" s="33">
        <f>COUNTIF($C152:$W159,Q154)</f>
        <v>20</v>
      </c>
      <c r="AM154" s="33">
        <f>COUNTIF($C152:$W159,L154)</f>
        <v>5</v>
      </c>
      <c r="AN154" s="33">
        <f>COUNTIF($C152:$W159,H154)</f>
        <v>20</v>
      </c>
      <c r="AO154" s="33">
        <f t="shared" ref="AO154:AR154" si="467">COUNTIF($C152:$W159,T154)</f>
        <v>19</v>
      </c>
      <c r="AP154" s="33">
        <f t="shared" si="467"/>
        <v>19</v>
      </c>
      <c r="AQ154" s="33">
        <f t="shared" si="467"/>
        <v>19</v>
      </c>
      <c r="AR154" s="33">
        <f t="shared" si="467"/>
        <v>19</v>
      </c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ht="12.75" customHeight="1">
      <c r="A155" s="30" t="s">
        <v>82</v>
      </c>
      <c r="B155" s="31" t="s">
        <v>43</v>
      </c>
      <c r="C155" s="32" t="str">
        <f>VLOOKUP($C$2,Form_PrimeiraFase!$C$2:$FB$69,149,FALSE)</f>
        <v>Bayern de Munique</v>
      </c>
      <c r="D155" s="32" t="str">
        <f>VLOOKUP($D$2,Form_PrimeiraFase!$C$2:$FB$69,149,FALSE)</f>
        <v>Paris Saint-Germain</v>
      </c>
      <c r="E155" s="32" t="str">
        <f>VLOOKUP($E$2,Form_PrimeiraFase!$C$2:$FB$69,149,FALSE)</f>
        <v>Arsenal</v>
      </c>
      <c r="F155" s="32" t="str">
        <f>VLOOKUP($F$2,Form_PrimeiraFase!$C$2:$FB$69,149,FALSE)</f>
        <v>Barcelona</v>
      </c>
      <c r="G155" s="32" t="str">
        <f>VLOOKUP($G$2,Form_PrimeiraFase!$C$2:$FB$69,149,FALSE)</f>
        <v>Bayern de Munique</v>
      </c>
      <c r="H155" s="32" t="str">
        <f>VLOOKUP($H$2,Form_PrimeiraFase!$C$2:$FB$69,149,FALSE)</f>
        <v>Bayern de Munique</v>
      </c>
      <c r="I155" s="32" t="str">
        <f>VLOOKUP($I$2,Form_PrimeiraFase!$C$2:$FB$69,149,FALSE)</f>
        <v>Bayern de Munique</v>
      </c>
      <c r="J155" s="32" t="str">
        <f>VLOOKUP($J$2,Form_PrimeiraFase!$C$2:$FB$69,149,FALSE)</f>
        <v>Liverpool</v>
      </c>
      <c r="K155" s="32" t="str">
        <f>VLOOKUP($K$2,Form_PrimeiraFase!$C$2:$FB$69,149,FALSE)</f>
        <v>Bayern de Munique</v>
      </c>
      <c r="L155" s="32" t="str">
        <f>VLOOKUP($L$2,Form_PrimeiraFase!$C$2:$FB$69,149,FALSE)</f>
        <v>Bayern de Munique</v>
      </c>
      <c r="M155" s="32" t="str">
        <f>VLOOKUP($M$2,Form_PrimeiraFase!$C$2:$FB$69,149,FALSE)</f>
        <v>Real Madrid</v>
      </c>
      <c r="N155" s="32" t="str">
        <f>VLOOKUP($N$2,Form_PrimeiraFase!$C$2:$FB$69,149,FALSE)</f>
        <v>Real Madrid</v>
      </c>
      <c r="O155" s="32" t="str">
        <f>VLOOKUP($O$2,Form_PrimeiraFase!$C$2:$FB$69,149,FALSE)</f>
        <v>Paris Saint-Germain</v>
      </c>
      <c r="P155" s="32" t="str">
        <f>VLOOKUP($P$2,Form_PrimeiraFase!$C$2:$FB$69,149,FALSE)</f>
        <v>Manchester City</v>
      </c>
      <c r="Q155" s="32" t="str">
        <f>VLOOKUP($Q$2,Form_PrimeiraFase!$C$2:$FB$69,149,FALSE)</f>
        <v>Villarreal</v>
      </c>
      <c r="R155" s="32" t="str">
        <f>VLOOKUP($R$2,Form_PrimeiraFase!$C$2:$FB$69,149,FALSE)</f>
        <v>Manchester City</v>
      </c>
      <c r="S155" s="32" t="str">
        <f>VLOOKUP($S$2,Form_PrimeiraFase!$C$2:$FB$69,149,FALSE)</f>
        <v>Real Madrid</v>
      </c>
      <c r="T155" s="32" t="str">
        <f>VLOOKUP($T$2,Form_PrimeiraFase!$C$2:$FB$69,149,FALSE)</f>
        <v>Manchester City</v>
      </c>
      <c r="U155" s="32" t="str">
        <f>VLOOKUP($U$2,Form_PrimeiraFase!$C$2:$FB$69,149,FALSE)</f>
        <v>Real Madrid</v>
      </c>
      <c r="V155" s="32" t="str">
        <f>VLOOKUP($V$2,Form_PrimeiraFase!$C$2:$FB$69,149,FALSE)</f>
        <v>Paris Saint-Germain</v>
      </c>
      <c r="W155" s="32" t="str">
        <f>VLOOKUP($W$2,Form_PrimeiraFase!$C$2:$FB$69,149,FALSE)</f>
        <v>Liverpool</v>
      </c>
      <c r="X155" s="33">
        <f t="shared" ref="X155:Y155" si="468">COUNTIF($C152:$W159,J155)</f>
        <v>17</v>
      </c>
      <c r="Y155" s="33">
        <f t="shared" si="468"/>
        <v>19</v>
      </c>
      <c r="Z155" s="33">
        <f>COUNTIF($C152:$W159,R155)</f>
        <v>19</v>
      </c>
      <c r="AA155" s="33">
        <f>COUNTIF($C152:$W159,D155)</f>
        <v>19</v>
      </c>
      <c r="AB155" s="33">
        <f t="shared" ref="AB155:AC155" si="469">COUNTIF($C152:$W159,N155)</f>
        <v>20</v>
      </c>
      <c r="AC155" s="33">
        <f t="shared" si="469"/>
        <v>19</v>
      </c>
      <c r="AD155" s="33">
        <f>COUNTIF($C152:$W159,G155)</f>
        <v>19</v>
      </c>
      <c r="AE155" s="33">
        <f>COUNTIF($C152:$W159,F155)</f>
        <v>20</v>
      </c>
      <c r="AF155" s="33">
        <f>COUNTIF($C152:$W159,E155)</f>
        <v>15</v>
      </c>
      <c r="AG155" s="33">
        <f>COUNTIF($C152:$W159,S155)</f>
        <v>20</v>
      </c>
      <c r="AH155" s="33">
        <f>COUNTIF($C152:$W159,C155)</f>
        <v>19</v>
      </c>
      <c r="AI155" s="33">
        <f>COUNTIF($C152:$W159,P155)</f>
        <v>19</v>
      </c>
      <c r="AJ155" s="33">
        <f>COUNTIF($C152:$W159,M155)</f>
        <v>20</v>
      </c>
      <c r="AK155" s="33">
        <f>COUNTIF($C152:$W159,I155)</f>
        <v>19</v>
      </c>
      <c r="AL155" s="33">
        <f>COUNTIF($C152:$W159,Q155)</f>
        <v>1</v>
      </c>
      <c r="AM155" s="33">
        <f>COUNTIF($C152:$W159,L155)</f>
        <v>19</v>
      </c>
      <c r="AN155" s="33">
        <f>COUNTIF($C152:$W159,H155)</f>
        <v>19</v>
      </c>
      <c r="AO155" s="33">
        <f t="shared" ref="AO155:AR155" si="470">COUNTIF($C152:$W159,T155)</f>
        <v>19</v>
      </c>
      <c r="AP155" s="33">
        <f t="shared" si="470"/>
        <v>20</v>
      </c>
      <c r="AQ155" s="33">
        <f t="shared" si="470"/>
        <v>19</v>
      </c>
      <c r="AR155" s="33">
        <f t="shared" si="470"/>
        <v>17</v>
      </c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ht="12.75" customHeight="1">
      <c r="A156" s="30" t="s">
        <v>83</v>
      </c>
      <c r="B156" s="31" t="s">
        <v>52</v>
      </c>
      <c r="C156" s="32" t="str">
        <f>VLOOKUP($C$2,Form_PrimeiraFase!$C$2:$FB$69,150,FALSE)</f>
        <v>Arsenal</v>
      </c>
      <c r="D156" s="32" t="str">
        <f>VLOOKUP($D$2,Form_PrimeiraFase!$C$2:$FB$69,150,FALSE)</f>
        <v>Juventus</v>
      </c>
      <c r="E156" s="32" t="str">
        <f>VLOOKUP($E$2,Form_PrimeiraFase!$C$2:$FB$69,150,FALSE)</f>
        <v>Manchester City</v>
      </c>
      <c r="F156" s="32" t="str">
        <f>VLOOKUP($F$2,Form_PrimeiraFase!$C$2:$FB$69,150,FALSE)</f>
        <v>Manchester City</v>
      </c>
      <c r="G156" s="32" t="str">
        <f>VLOOKUP($G$2,Form_PrimeiraFase!$C$2:$FB$69,150,FALSE)</f>
        <v>Real Madrid</v>
      </c>
      <c r="H156" s="32" t="str">
        <f>VLOOKUP($H$2,Form_PrimeiraFase!$C$2:$FB$69,150,FALSE)</f>
        <v>Liverpool</v>
      </c>
      <c r="I156" s="32" t="str">
        <f>VLOOKUP($I$2,Form_PrimeiraFase!$C$2:$FB$69,150,FALSE)</f>
        <v>Napoli</v>
      </c>
      <c r="J156" s="32" t="str">
        <f>VLOOKUP($J$2,Form_PrimeiraFase!$C$2:$FB$69,150,FALSE)</f>
        <v>Real Madrid</v>
      </c>
      <c r="K156" s="32" t="str">
        <f>VLOOKUP($K$2,Form_PrimeiraFase!$C$2:$FB$69,150,FALSE)</f>
        <v>Arsenal</v>
      </c>
      <c r="L156" s="32" t="str">
        <f>VLOOKUP($L$2,Form_PrimeiraFase!$C$2:$FB$69,150,FALSE)</f>
        <v>Juventus</v>
      </c>
      <c r="M156" s="32" t="str">
        <f>VLOOKUP($M$2,Form_PrimeiraFase!$C$2:$FB$69,150,FALSE)</f>
        <v>Bayern de Munique</v>
      </c>
      <c r="N156" s="32" t="str">
        <f>VLOOKUP($N$2,Form_PrimeiraFase!$C$2:$FB$69,150,FALSE)</f>
        <v>Chelsea</v>
      </c>
      <c r="O156" s="32" t="str">
        <f>VLOOKUP($O$2,Form_PrimeiraFase!$C$2:$FB$69,150,FALSE)</f>
        <v>Real Madrid</v>
      </c>
      <c r="P156" s="32" t="str">
        <f>VLOOKUP($P$2,Form_PrimeiraFase!$C$2:$FB$69,150,FALSE)</f>
        <v>Real Madrid</v>
      </c>
      <c r="Q156" s="32" t="str">
        <f>VLOOKUP($Q$2,Form_PrimeiraFase!$C$2:$FB$69,150,FALSE)</f>
        <v>Bayern de Munique</v>
      </c>
      <c r="R156" s="32" t="str">
        <f>VLOOKUP($R$2,Form_PrimeiraFase!$C$2:$FB$69,150,FALSE)</f>
        <v>Barcelona</v>
      </c>
      <c r="S156" s="32" t="str">
        <f>VLOOKUP($S$2,Form_PrimeiraFase!$C$2:$FB$69,150,FALSE)</f>
        <v>Bayern de Munique</v>
      </c>
      <c r="T156" s="32" t="str">
        <f>VLOOKUP($T$2,Form_PrimeiraFase!$C$2:$FB$69,150,FALSE)</f>
        <v>Barcelona</v>
      </c>
      <c r="U156" s="32" t="str">
        <f>VLOOKUP($U$2,Form_PrimeiraFase!$C$2:$FB$69,150,FALSE)</f>
        <v>Atalanta</v>
      </c>
      <c r="V156" s="32" t="str">
        <f>VLOOKUP($V$2,Form_PrimeiraFase!$C$2:$FB$69,150,FALSE)</f>
        <v>Arsenal</v>
      </c>
      <c r="W156" s="32" t="str">
        <f>VLOOKUP($W$2,Form_PrimeiraFase!$C$2:$FB$69,150,FALSE)</f>
        <v>Bayern de Munique</v>
      </c>
      <c r="X156" s="33">
        <f t="shared" ref="X156:Y156" si="471">COUNTIF($C152:$W159,J156)</f>
        <v>20</v>
      </c>
      <c r="Y156" s="33">
        <f t="shared" si="471"/>
        <v>15</v>
      </c>
      <c r="Z156" s="33">
        <f>COUNTIF($C152:$W159,R156)</f>
        <v>20</v>
      </c>
      <c r="AA156" s="33">
        <f>COUNTIF($C152:$W159,D156)</f>
        <v>6</v>
      </c>
      <c r="AB156" s="33">
        <f t="shared" ref="AB156:AC156" si="472">COUNTIF($C152:$W159,N156)</f>
        <v>17</v>
      </c>
      <c r="AC156" s="33">
        <f t="shared" si="472"/>
        <v>20</v>
      </c>
      <c r="AD156" s="33">
        <f>COUNTIF($C152:$W159,G156)</f>
        <v>20</v>
      </c>
      <c r="AE156" s="33">
        <f>COUNTIF($C152:$W159,F156)</f>
        <v>19</v>
      </c>
      <c r="AF156" s="33">
        <f>COUNTIF($C152:$W159,E156)</f>
        <v>19</v>
      </c>
      <c r="AG156" s="33">
        <f>COUNTIF($C152:$W159,S156)</f>
        <v>19</v>
      </c>
      <c r="AH156" s="33">
        <f>COUNTIF($C152:$W159,C156)</f>
        <v>15</v>
      </c>
      <c r="AI156" s="33">
        <f>COUNTIF($C152:$W159,P156)</f>
        <v>20</v>
      </c>
      <c r="AJ156" s="33">
        <f>COUNTIF($C152:$W159,M156)</f>
        <v>19</v>
      </c>
      <c r="AK156" s="33">
        <f>COUNTIF($C152:$W159,I156)</f>
        <v>2</v>
      </c>
      <c r="AL156" s="33">
        <f>COUNTIF($C152:$W159,Q156)</f>
        <v>19</v>
      </c>
      <c r="AM156" s="33">
        <f>COUNTIF($C152:$W159,L156)</f>
        <v>6</v>
      </c>
      <c r="AN156" s="33">
        <f>COUNTIF($C152:$W159,H156)</f>
        <v>17</v>
      </c>
      <c r="AO156" s="33">
        <f t="shared" ref="AO156:AR156" si="473">COUNTIF($C152:$W159,T156)</f>
        <v>20</v>
      </c>
      <c r="AP156" s="33">
        <f t="shared" si="473"/>
        <v>2</v>
      </c>
      <c r="AQ156" s="33">
        <f t="shared" si="473"/>
        <v>15</v>
      </c>
      <c r="AR156" s="33">
        <f t="shared" si="473"/>
        <v>19</v>
      </c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</row>
    <row r="157" ht="12.75" customHeight="1">
      <c r="A157" s="30" t="s">
        <v>84</v>
      </c>
      <c r="B157" s="31" t="s">
        <v>55</v>
      </c>
      <c r="C157" s="32" t="str">
        <f>VLOOKUP($C$2,Form_PrimeiraFase!$C$2:$FB$69,151,FALSE)</f>
        <v>Internazionale</v>
      </c>
      <c r="D157" s="32" t="str">
        <f>VLOOKUP($D$2,Form_PrimeiraFase!$C$2:$FB$69,151,FALSE)</f>
        <v>Chelsea</v>
      </c>
      <c r="E157" s="32" t="str">
        <f>VLOOKUP($E$2,Form_PrimeiraFase!$C$2:$FB$69,151,FALSE)</f>
        <v>Barcelona</v>
      </c>
      <c r="F157" s="32" t="str">
        <f>VLOOKUP($F$2,Form_PrimeiraFase!$C$2:$FB$69,151,FALSE)</f>
        <v>Bayern de Munique</v>
      </c>
      <c r="G157" s="32" t="str">
        <f>VLOOKUP($G$2,Form_PrimeiraFase!$C$2:$FB$69,151,FALSE)</f>
        <v>Arsenal</v>
      </c>
      <c r="H157" s="32" t="str">
        <f>VLOOKUP($H$2,Form_PrimeiraFase!$C$2:$FB$69,151,FALSE)</f>
        <v>Arsenal</v>
      </c>
      <c r="I157" s="32" t="str">
        <f>VLOOKUP($I$2,Form_PrimeiraFase!$C$2:$FB$69,151,FALSE)</f>
        <v>Juventus</v>
      </c>
      <c r="J157" s="32" t="str">
        <f>VLOOKUP($J$2,Form_PrimeiraFase!$C$2:$FB$69,151,FALSE)</f>
        <v>Bayern de Munique</v>
      </c>
      <c r="K157" s="32" t="str">
        <f>VLOOKUP($K$2,Form_PrimeiraFase!$C$2:$FB$69,151,FALSE)</f>
        <v>Real Madrid</v>
      </c>
      <c r="L157" s="32" t="str">
        <f>VLOOKUP($L$2,Form_PrimeiraFase!$C$2:$FB$69,151,FALSE)</f>
        <v>Manchester City</v>
      </c>
      <c r="M157" s="32" t="str">
        <f>VLOOKUP($M$2,Form_PrimeiraFase!$C$2:$FB$69,151,FALSE)</f>
        <v>Manchester City</v>
      </c>
      <c r="N157" s="32" t="str">
        <f>VLOOKUP($N$2,Form_PrimeiraFase!$C$2:$FB$69,151,FALSE)</f>
        <v>Bayern de Munique</v>
      </c>
      <c r="O157" s="32" t="str">
        <f>VLOOKUP($O$2,Form_PrimeiraFase!$C$2:$FB$69,151,FALSE)</f>
        <v>Bayern de Munique</v>
      </c>
      <c r="P157" s="32" t="str">
        <f>VLOOKUP($P$2,Form_PrimeiraFase!$C$2:$FB$69,151,FALSE)</f>
        <v>Chelsea</v>
      </c>
      <c r="Q157" s="32" t="str">
        <f>VLOOKUP($Q$2,Form_PrimeiraFase!$C$2:$FB$69,151,FALSE)</f>
        <v>Arsenal</v>
      </c>
      <c r="R157" s="32" t="str">
        <f>VLOOKUP($R$2,Form_PrimeiraFase!$C$2:$FB$69,151,FALSE)</f>
        <v>Real Madrid</v>
      </c>
      <c r="S157" s="32" t="str">
        <f>VLOOKUP($S$2,Form_PrimeiraFase!$C$2:$FB$69,151,FALSE)</f>
        <v>Chelsea</v>
      </c>
      <c r="T157" s="32" t="str">
        <f>VLOOKUP($T$2,Form_PrimeiraFase!$C$2:$FB$69,151,FALSE)</f>
        <v>Chelsea</v>
      </c>
      <c r="U157" s="32" t="str">
        <f>VLOOKUP($U$2,Form_PrimeiraFase!$C$2:$FB$69,151,FALSE)</f>
        <v>Manchester City</v>
      </c>
      <c r="V157" s="32" t="str">
        <f>VLOOKUP($V$2,Form_PrimeiraFase!$C$2:$FB$69,151,FALSE)</f>
        <v>Internazionale</v>
      </c>
      <c r="W157" s="32" t="str">
        <f>VLOOKUP($W$2,Form_PrimeiraFase!$C$2:$FB$69,151,FALSE)</f>
        <v>Arsenal</v>
      </c>
      <c r="X157" s="33">
        <f t="shared" ref="X157:Y157" si="474">COUNTIF($C152:$W159,J157)</f>
        <v>19</v>
      </c>
      <c r="Y157" s="33">
        <f t="shared" si="474"/>
        <v>20</v>
      </c>
      <c r="Z157" s="33">
        <f>COUNTIF($C152:$W159,R157)</f>
        <v>20</v>
      </c>
      <c r="AA157" s="33">
        <f>COUNTIF($C152:$W159,D157)</f>
        <v>17</v>
      </c>
      <c r="AB157" s="33">
        <f t="shared" ref="AB157:AC157" si="475">COUNTIF($C152:$W159,N157)</f>
        <v>19</v>
      </c>
      <c r="AC157" s="33">
        <f t="shared" si="475"/>
        <v>19</v>
      </c>
      <c r="AD157" s="33">
        <f>COUNTIF($C152:$W159,G157)</f>
        <v>15</v>
      </c>
      <c r="AE157" s="33">
        <f>COUNTIF($C152:$W159,F157)</f>
        <v>19</v>
      </c>
      <c r="AF157" s="33">
        <f>COUNTIF($C152:$W159,E157)</f>
        <v>20</v>
      </c>
      <c r="AG157" s="33">
        <f>COUNTIF($C152:$W159,S157)</f>
        <v>17</v>
      </c>
      <c r="AH157" s="33">
        <f>COUNTIF($C152:$W159,C157)</f>
        <v>5</v>
      </c>
      <c r="AI157" s="33">
        <f>COUNTIF($C152:$W159,P157)</f>
        <v>17</v>
      </c>
      <c r="AJ157" s="33">
        <f>COUNTIF($C152:$W159,M157)</f>
        <v>19</v>
      </c>
      <c r="AK157" s="33">
        <f>COUNTIF($C152:$W159,I157)</f>
        <v>6</v>
      </c>
      <c r="AL157" s="33">
        <f>COUNTIF($C152:$W159,Q157)</f>
        <v>15</v>
      </c>
      <c r="AM157" s="33">
        <f>COUNTIF($C152:$W159,L157)</f>
        <v>19</v>
      </c>
      <c r="AN157" s="33">
        <f>COUNTIF($C152:$W159,H157)</f>
        <v>15</v>
      </c>
      <c r="AO157" s="33">
        <f t="shared" ref="AO157:AR157" si="476">COUNTIF($C152:$W159,T157)</f>
        <v>17</v>
      </c>
      <c r="AP157" s="33">
        <f t="shared" si="476"/>
        <v>19</v>
      </c>
      <c r="AQ157" s="33">
        <f t="shared" si="476"/>
        <v>5</v>
      </c>
      <c r="AR157" s="33">
        <f t="shared" si="476"/>
        <v>15</v>
      </c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</row>
    <row r="158" ht="12.75" customHeight="1">
      <c r="A158" s="30" t="s">
        <v>85</v>
      </c>
      <c r="B158" s="31" t="s">
        <v>51</v>
      </c>
      <c r="C158" s="32" t="str">
        <f>VLOOKUP($C$2,Form_PrimeiraFase!$C$2:$FB$69,152,FALSE)</f>
        <v>Liverpool</v>
      </c>
      <c r="D158" s="32" t="str">
        <f>VLOOKUP($D$2,Form_PrimeiraFase!$C$2:$FB$69,152,FALSE)</f>
        <v>Manchester City</v>
      </c>
      <c r="E158" s="32" t="str">
        <f>VLOOKUP($E$2,Form_PrimeiraFase!$C$2:$FB$69,152,FALSE)</f>
        <v>Bayern de Munique</v>
      </c>
      <c r="F158" s="32" t="str">
        <f>VLOOKUP($F$2,Form_PrimeiraFase!$C$2:$FB$69,152,FALSE)</f>
        <v>Chelsea</v>
      </c>
      <c r="G158" s="32" t="str">
        <f>VLOOKUP($G$2,Form_PrimeiraFase!$C$2:$FB$69,152,FALSE)</f>
        <v>Manchester City</v>
      </c>
      <c r="H158" s="32" t="str">
        <f>VLOOKUP($H$2,Form_PrimeiraFase!$C$2:$FB$69,152,FALSE)</f>
        <v>Paris Saint-Germain</v>
      </c>
      <c r="I158" s="32" t="str">
        <f>VLOOKUP($I$2,Form_PrimeiraFase!$C$2:$FB$69,152,FALSE)</f>
        <v>Barcelona</v>
      </c>
      <c r="J158" s="32" t="str">
        <f>VLOOKUP($J$2,Form_PrimeiraFase!$C$2:$FB$69,152,FALSE)</f>
        <v>Juventus</v>
      </c>
      <c r="K158" s="32" t="str">
        <f>VLOOKUP($K$2,Form_PrimeiraFase!$C$2:$FB$69,152,FALSE)</f>
        <v>Manchester City</v>
      </c>
      <c r="L158" s="32" t="str">
        <f>VLOOKUP($L$2,Form_PrimeiraFase!$C$2:$FB$69,152,FALSE)</f>
        <v>Arsenal</v>
      </c>
      <c r="M158" s="32" t="str">
        <f>VLOOKUP($M$2,Form_PrimeiraFase!$C$2:$FB$69,152,FALSE)</f>
        <v>Barcelona</v>
      </c>
      <c r="N158" s="32" t="str">
        <f>VLOOKUP($N$2,Form_PrimeiraFase!$C$2:$FB$69,152,FALSE)</f>
        <v>Arsenal</v>
      </c>
      <c r="O158" s="32" t="str">
        <f>VLOOKUP($O$2,Form_PrimeiraFase!$C$2:$FB$69,152,FALSE)</f>
        <v>Chelsea</v>
      </c>
      <c r="P158" s="32" t="str">
        <f>VLOOKUP($P$2,Form_PrimeiraFase!$C$2:$FB$69,152,FALSE)</f>
        <v>Arsenal</v>
      </c>
      <c r="Q158" s="32" t="str">
        <f>VLOOKUP($Q$2,Form_PrimeiraFase!$C$2:$FB$69,152,FALSE)</f>
        <v>Paris Saint-Germain</v>
      </c>
      <c r="R158" s="32" t="str">
        <f>VLOOKUP($R$2,Form_PrimeiraFase!$C$2:$FB$69,152,FALSE)</f>
        <v>Arsenal</v>
      </c>
      <c r="S158" s="32" t="str">
        <f>VLOOKUP($S$2,Form_PrimeiraFase!$C$2:$FB$69,152,FALSE)</f>
        <v>Juventus</v>
      </c>
      <c r="T158" s="32" t="str">
        <f>VLOOKUP($T$2,Form_PrimeiraFase!$C$2:$FB$69,152,FALSE)</f>
        <v>Liverpool</v>
      </c>
      <c r="U158" s="32" t="str">
        <f>VLOOKUP($U$2,Form_PrimeiraFase!$C$2:$FB$69,152,FALSE)</f>
        <v>Arsenal</v>
      </c>
      <c r="V158" s="32" t="str">
        <f>VLOOKUP($V$2,Form_PrimeiraFase!$C$2:$FB$69,152,FALSE)</f>
        <v>Barcelona</v>
      </c>
      <c r="W158" s="32" t="str">
        <f>VLOOKUP($W$2,Form_PrimeiraFase!$C$2:$FB$69,152,FALSE)</f>
        <v>Chelsea</v>
      </c>
      <c r="X158" s="33">
        <f t="shared" ref="X158:Y158" si="477">COUNTIF($C152:$W159,J158)</f>
        <v>6</v>
      </c>
      <c r="Y158" s="33">
        <f t="shared" si="477"/>
        <v>19</v>
      </c>
      <c r="Z158" s="33">
        <f>COUNTIF($C152:$W159,R158)</f>
        <v>15</v>
      </c>
      <c r="AA158" s="33">
        <f>COUNTIF($C152:$W159,D158)</f>
        <v>19</v>
      </c>
      <c r="AB158" s="33">
        <f t="shared" ref="AB158:AC158" si="478">COUNTIF($C152:$W159,N158)</f>
        <v>15</v>
      </c>
      <c r="AC158" s="33">
        <f t="shared" si="478"/>
        <v>17</v>
      </c>
      <c r="AD158" s="33">
        <f>COUNTIF($C152:$W159,G158)</f>
        <v>19</v>
      </c>
      <c r="AE158" s="33">
        <f>COUNTIF($C152:$W159,F158)</f>
        <v>17</v>
      </c>
      <c r="AF158" s="33">
        <f>COUNTIF($C152:$W159,E158)</f>
        <v>19</v>
      </c>
      <c r="AG158" s="33">
        <f>COUNTIF($C152:$W159,S158)</f>
        <v>6</v>
      </c>
      <c r="AH158" s="33">
        <f>COUNTIF($C152:$W159,C158)</f>
        <v>17</v>
      </c>
      <c r="AI158" s="33">
        <f>COUNTIF($C152:$W159,P158)</f>
        <v>15</v>
      </c>
      <c r="AJ158" s="33">
        <f>COUNTIF($C152:$W159,M158)</f>
        <v>20</v>
      </c>
      <c r="AK158" s="33">
        <f>COUNTIF($C152:$W159,I158)</f>
        <v>20</v>
      </c>
      <c r="AL158" s="33">
        <f>COUNTIF($C152:$W159,Q158)</f>
        <v>19</v>
      </c>
      <c r="AM158" s="33">
        <f>COUNTIF($C152:$W159,L158)</f>
        <v>15</v>
      </c>
      <c r="AN158" s="33">
        <f>COUNTIF($C152:$W159,H158)</f>
        <v>19</v>
      </c>
      <c r="AO158" s="33">
        <f t="shared" ref="AO158:AR158" si="479">COUNTIF($C152:$W159,T158)</f>
        <v>17</v>
      </c>
      <c r="AP158" s="33">
        <f t="shared" si="479"/>
        <v>15</v>
      </c>
      <c r="AQ158" s="33">
        <f t="shared" si="479"/>
        <v>20</v>
      </c>
      <c r="AR158" s="33">
        <f t="shared" si="479"/>
        <v>17</v>
      </c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</row>
    <row r="159" ht="12.75" customHeight="1">
      <c r="A159" s="30" t="s">
        <v>86</v>
      </c>
      <c r="B159" s="31" t="s">
        <v>49</v>
      </c>
      <c r="C159" s="32" t="str">
        <f>VLOOKUP($C$2,Form_PrimeiraFase!$C$2:$FB$69,153,FALSE)</f>
        <v>Atalanta</v>
      </c>
      <c r="D159" s="32" t="str">
        <f>VLOOKUP($D$2,Form_PrimeiraFase!$C$2:$FB$69,153,FALSE)</f>
        <v>Arsenal</v>
      </c>
      <c r="E159" s="32" t="str">
        <f>VLOOKUP($E$2,Form_PrimeiraFase!$C$2:$FB$69,153,FALSE)</f>
        <v>Real Madrid</v>
      </c>
      <c r="F159" s="32" t="str">
        <f>VLOOKUP($F$2,Form_PrimeiraFase!$C$2:$FB$69,153,FALSE)</f>
        <v>Atlético de Madrid</v>
      </c>
      <c r="G159" s="32" t="str">
        <f>VLOOKUP($G$2,Form_PrimeiraFase!$C$2:$FB$69,153,FALSE)</f>
        <v>Atlético de Madrid</v>
      </c>
      <c r="H159" s="32" t="str">
        <f>VLOOKUP($H$2,Form_PrimeiraFase!$C$2:$FB$69,153,FALSE)</f>
        <v>Internazionale</v>
      </c>
      <c r="I159" s="32" t="str">
        <f>VLOOKUP($I$2,Form_PrimeiraFase!$C$2:$FB$69,153,FALSE)</f>
        <v>Manchester City</v>
      </c>
      <c r="J159" s="32" t="str">
        <f>VLOOKUP($J$2,Form_PrimeiraFase!$C$2:$FB$69,153,FALSE)</f>
        <v>Manchester City</v>
      </c>
      <c r="K159" s="32" t="str">
        <f>VLOOKUP($K$2,Form_PrimeiraFase!$C$2:$FB$69,153,FALSE)</f>
        <v>Internazionale</v>
      </c>
      <c r="L159" s="32" t="str">
        <f>VLOOKUP($L$2,Form_PrimeiraFase!$C$2:$FB$69,153,FALSE)</f>
        <v>Real Madrid</v>
      </c>
      <c r="M159" s="32" t="str">
        <f>VLOOKUP($M$2,Form_PrimeiraFase!$C$2:$FB$69,153,FALSE)</f>
        <v>Juventus</v>
      </c>
      <c r="N159" s="32" t="str">
        <f>VLOOKUP($N$2,Form_PrimeiraFase!$C$2:$FB$69,153,FALSE)</f>
        <v>Tottenham</v>
      </c>
      <c r="O159" s="32" t="str">
        <f>VLOOKUP($O$2,Form_PrimeiraFase!$C$2:$FB$69,153,FALSE)</f>
        <v>Arsenal</v>
      </c>
      <c r="P159" s="32" t="str">
        <f>VLOOKUP($P$2,Form_PrimeiraFase!$C$2:$FB$69,153,FALSE)</f>
        <v>Bayern de Munique</v>
      </c>
      <c r="Q159" s="32" t="str">
        <f>VLOOKUP($Q$2,Form_PrimeiraFase!$C$2:$FB$69,153,FALSE)</f>
        <v>Manchester City</v>
      </c>
      <c r="R159" s="32" t="str">
        <f>VLOOKUP($R$2,Form_PrimeiraFase!$C$2:$FB$69,153,FALSE)</f>
        <v>Chelsea</v>
      </c>
      <c r="S159" s="32" t="str">
        <f>VLOOKUP($S$2,Form_PrimeiraFase!$C$2:$FB$69,153,FALSE)</f>
        <v>Napoli</v>
      </c>
      <c r="T159" s="32" t="str">
        <f>VLOOKUP($T$2,Form_PrimeiraFase!$C$2:$FB$69,153,FALSE)</f>
        <v>Borussia Dortmund</v>
      </c>
      <c r="U159" s="32" t="str">
        <f>VLOOKUP($U$2,Form_PrimeiraFase!$C$2:$FB$69,153,FALSE)</f>
        <v>Borussia Dortmund</v>
      </c>
      <c r="V159" s="32" t="str">
        <f>VLOOKUP($V$2,Form_PrimeiraFase!$C$2:$FB$69,153,FALSE)</f>
        <v>Liverpool</v>
      </c>
      <c r="W159" s="32" t="str">
        <f>VLOOKUP($W$2,Form_PrimeiraFase!$C$2:$FB$69,153,FALSE)</f>
        <v>Atlético de Madrid</v>
      </c>
      <c r="X159" s="33">
        <f t="shared" ref="X159:Y159" si="480">COUNTIF($C152:$W159,J159)</f>
        <v>19</v>
      </c>
      <c r="Y159" s="33">
        <f t="shared" si="480"/>
        <v>5</v>
      </c>
      <c r="Z159" s="33">
        <f>COUNTIF($C152:$W159,R159)</f>
        <v>17</v>
      </c>
      <c r="AA159" s="33">
        <f>COUNTIF($C152:$W159,D159)</f>
        <v>15</v>
      </c>
      <c r="AB159" s="33">
        <f t="shared" ref="AB159:AC159" si="481">COUNTIF($C152:$W159,N159)</f>
        <v>1</v>
      </c>
      <c r="AC159" s="33">
        <f t="shared" si="481"/>
        <v>15</v>
      </c>
      <c r="AD159" s="33">
        <f>COUNTIF($C152:$W159,G159)</f>
        <v>3</v>
      </c>
      <c r="AE159" s="33">
        <f>COUNTIF($C152:$W159,F159)</f>
        <v>3</v>
      </c>
      <c r="AF159" s="33">
        <f>COUNTIF($C152:$W159,E159)</f>
        <v>20</v>
      </c>
      <c r="AG159" s="33">
        <f>COUNTIF($C152:$W159,S159)</f>
        <v>2</v>
      </c>
      <c r="AH159" s="33">
        <f>COUNTIF($C152:$W159,C159)</f>
        <v>2</v>
      </c>
      <c r="AI159" s="33">
        <f>COUNTIF($C152:$W159,P159)</f>
        <v>19</v>
      </c>
      <c r="AJ159" s="33">
        <f>COUNTIF($C152:$W159,M159)</f>
        <v>6</v>
      </c>
      <c r="AK159" s="33">
        <f>COUNTIF($C152:$W159,I159)</f>
        <v>19</v>
      </c>
      <c r="AL159" s="33">
        <f>COUNTIF($C152:$W159,Q159)</f>
        <v>19</v>
      </c>
      <c r="AM159" s="33">
        <f>COUNTIF($C152:$W159,L159)</f>
        <v>20</v>
      </c>
      <c r="AN159" s="33">
        <f>COUNTIF($C152:$W159,H159)</f>
        <v>5</v>
      </c>
      <c r="AO159" s="33">
        <f t="shared" ref="AO159:AR159" si="482">COUNTIF($C152:$W159,T159)</f>
        <v>2</v>
      </c>
      <c r="AP159" s="33">
        <f t="shared" si="482"/>
        <v>2</v>
      </c>
      <c r="AQ159" s="33">
        <f t="shared" si="482"/>
        <v>17</v>
      </c>
      <c r="AR159" s="33">
        <f t="shared" si="482"/>
        <v>3</v>
      </c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</row>
    <row r="160" ht="12.75" customHeight="1">
      <c r="A160" s="15"/>
      <c r="B160" s="16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6"/>
      <c r="U160" s="16"/>
      <c r="V160" s="16"/>
      <c r="W160" s="16"/>
      <c r="X160" s="16" t="str">
        <f t="shared" ref="X160:Y160" si="483">concat(J152,X152)</f>
        <v>Paris Saint-Germain19</v>
      </c>
      <c r="Y160" s="16" t="str">
        <f t="shared" si="483"/>
        <v>Liverpool17</v>
      </c>
      <c r="Z160" s="16" t="str">
        <f t="shared" ref="Z160:Z167" si="487">concat(R152,Z152)</f>
        <v>Paris Saint-Germain19</v>
      </c>
      <c r="AA160" s="16" t="str">
        <f t="shared" ref="AA160:AA167" si="488">concat(D152,AA152)</f>
        <v>Barcelona20</v>
      </c>
      <c r="AB160" s="16" t="str">
        <f t="shared" ref="AB160:AC160" si="484">concat(N152,AB152)</f>
        <v>Barcelona20</v>
      </c>
      <c r="AC160" s="16" t="str">
        <f t="shared" si="484"/>
        <v>Barcelona20</v>
      </c>
      <c r="AD160" s="16" t="str">
        <f t="shared" ref="AD160:AD167" si="490">concat(G152,AD152)</f>
        <v>Barcelona20</v>
      </c>
      <c r="AE160" s="16" t="str">
        <f t="shared" ref="AE160:AE167" si="491">concat(F152,AE152)</f>
        <v>Liverpool17</v>
      </c>
      <c r="AF160" s="16" t="str">
        <f t="shared" ref="AF160:AF167" si="492">concat(E152,AF152)</f>
        <v>Paris Saint-Germain19</v>
      </c>
      <c r="AG160" s="16" t="str">
        <f t="shared" ref="AG160:AG167" si="493">concat(S152,AG152)</f>
        <v>Barcelona20</v>
      </c>
      <c r="AH160" s="16" t="str">
        <f t="shared" ref="AH160:AH167" si="494">concat(C152,AH152)</f>
        <v>Real Madrid20</v>
      </c>
      <c r="AI160" s="16" t="str">
        <f t="shared" ref="AI160:AI167" si="495">concat(P152,AI152)</f>
        <v>Barcelona20</v>
      </c>
      <c r="AJ160" s="16" t="str">
        <f t="shared" ref="AJ160:AJ167" si="496">concat(M152,AJ152)</f>
        <v>Liverpool17</v>
      </c>
      <c r="AK160" s="16" t="str">
        <f t="shared" ref="AK160:AK167" si="497">concat(I152,AK152)</f>
        <v>Chelsea17</v>
      </c>
      <c r="AL160" s="16" t="str">
        <f t="shared" ref="AL160:AL167" si="498">concat(Q152,AL152)</f>
        <v>Liverpool17</v>
      </c>
      <c r="AM160" s="16" t="str">
        <f t="shared" ref="AM160:AM167" si="499">concat(L152,AM152)</f>
        <v>Barcelona20</v>
      </c>
      <c r="AN160" s="16" t="str">
        <f t="shared" ref="AN160:AN167" si="500">concat(H152,AN152)</f>
        <v>Chelsea17</v>
      </c>
      <c r="AO160" s="16" t="str">
        <f t="shared" ref="AO160:AP160" si="485">concat(T152,AO152)</f>
        <v>Paris Saint-Germain19</v>
      </c>
      <c r="AP160" s="16" t="str">
        <f t="shared" si="485"/>
        <v>Barcelona20</v>
      </c>
      <c r="AQ160" s="16" t="str">
        <f t="shared" ref="AQ160:AQ167" si="502">concat(V152,AR152)</f>
        <v>Real Madrid20</v>
      </c>
      <c r="AR160" s="16" t="str">
        <f t="shared" ref="AR160:AR167" si="503">concat(W152,AR152)</f>
        <v>Barcelona20</v>
      </c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ht="12.75" customHeight="1">
      <c r="A161" s="15"/>
      <c r="B161" s="16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6"/>
      <c r="U161" s="16"/>
      <c r="V161" s="16"/>
      <c r="W161" s="16"/>
      <c r="X161" s="38" t="str">
        <f t="shared" ref="X161:Y161" si="486">concat(J153,X153)</f>
        <v>Chelsea17</v>
      </c>
      <c r="Y161" s="16" t="str">
        <f t="shared" si="486"/>
        <v>Barcelona20</v>
      </c>
      <c r="Z161" s="16" t="str">
        <f t="shared" si="487"/>
        <v>Bayern de Munique19</v>
      </c>
      <c r="AA161" s="16" t="str">
        <f t="shared" si="488"/>
        <v>Liverpool17</v>
      </c>
      <c r="AB161" s="16" t="str">
        <f t="shared" ref="AB161:AC161" si="489">concat(N153,AB153)</f>
        <v>Manchester City19</v>
      </c>
      <c r="AC161" s="16" t="str">
        <f t="shared" si="489"/>
        <v>Liverpool17</v>
      </c>
      <c r="AD161" s="16" t="str">
        <f t="shared" si="490"/>
        <v>Paris Saint-Germain19</v>
      </c>
      <c r="AE161" s="16" t="str">
        <f t="shared" si="491"/>
        <v>Paris Saint-Germain19</v>
      </c>
      <c r="AF161" s="16" t="str">
        <f t="shared" si="492"/>
        <v>Chelsea17</v>
      </c>
      <c r="AG161" s="16" t="str">
        <f t="shared" si="493"/>
        <v>Liverpool17</v>
      </c>
      <c r="AH161" s="16" t="str">
        <f t="shared" si="494"/>
        <v>Paris Saint-Germain19</v>
      </c>
      <c r="AI161" s="16" t="str">
        <f t="shared" si="495"/>
        <v>Paris Saint-Germain19</v>
      </c>
      <c r="AJ161" s="16" t="str">
        <f t="shared" si="496"/>
        <v>Chelsea17</v>
      </c>
      <c r="AK161" s="16" t="str">
        <f t="shared" si="497"/>
        <v>Paris Saint-Germain19</v>
      </c>
      <c r="AL161" s="16" t="str">
        <f t="shared" si="498"/>
        <v>Chelsea17</v>
      </c>
      <c r="AM161" s="16" t="str">
        <f t="shared" si="499"/>
        <v>Chelsea17</v>
      </c>
      <c r="AN161" s="16" t="str">
        <f t="shared" si="500"/>
        <v>Barcelona20</v>
      </c>
      <c r="AO161" s="16" t="str">
        <f t="shared" ref="AO161:AP161" si="501">concat(T153,AO153)</f>
        <v>Real Madrid20</v>
      </c>
      <c r="AP161" s="16" t="str">
        <f t="shared" si="501"/>
        <v>Chelsea17</v>
      </c>
      <c r="AQ161" s="16" t="str">
        <f t="shared" si="502"/>
        <v>Manchester City20</v>
      </c>
      <c r="AR161" s="16" t="str">
        <f t="shared" si="503"/>
        <v>Real Madrid20</v>
      </c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ht="12.75" customHeight="1">
      <c r="A162" s="15"/>
      <c r="B162" s="16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6"/>
      <c r="U162" s="16"/>
      <c r="V162" s="16"/>
      <c r="W162" s="16"/>
      <c r="X162" s="16" t="str">
        <f t="shared" ref="X162:Y162" si="504">concat(J154,X154)</f>
        <v>Barcelona20</v>
      </c>
      <c r="Y162" s="16" t="str">
        <f t="shared" si="504"/>
        <v>Paris Saint-Germain19</v>
      </c>
      <c r="Z162" s="16" t="str">
        <f t="shared" si="487"/>
        <v>Liverpool17</v>
      </c>
      <c r="AA162" s="16" t="str">
        <f t="shared" si="488"/>
        <v>Real Madrid20</v>
      </c>
      <c r="AB162" s="16" t="str">
        <f t="shared" ref="AB162:AC162" si="505">concat(N154,AB154)</f>
        <v>Paris Saint-Germain19</v>
      </c>
      <c r="AC162" s="16" t="str">
        <f t="shared" si="505"/>
        <v>Manchester City19</v>
      </c>
      <c r="AD162" s="16" t="str">
        <f t="shared" si="490"/>
        <v>Liverpool17</v>
      </c>
      <c r="AE162" s="16" t="str">
        <f t="shared" si="491"/>
        <v>Real Madrid20</v>
      </c>
      <c r="AF162" s="16" t="str">
        <f t="shared" si="492"/>
        <v>Liverpool17</v>
      </c>
      <c r="AG162" s="16" t="str">
        <f t="shared" si="493"/>
        <v>Manchester City19</v>
      </c>
      <c r="AH162" s="16" t="str">
        <f t="shared" si="494"/>
        <v>Manchester City19</v>
      </c>
      <c r="AI162" s="16" t="str">
        <f t="shared" si="495"/>
        <v>Liverpool17</v>
      </c>
      <c r="AJ162" s="16" t="str">
        <f t="shared" si="496"/>
        <v>Paris Saint-Germain19</v>
      </c>
      <c r="AK162" s="16" t="str">
        <f t="shared" si="497"/>
        <v>Real Madrid20</v>
      </c>
      <c r="AL162" s="16" t="str">
        <f t="shared" si="498"/>
        <v>Barcelona20</v>
      </c>
      <c r="AM162" s="16" t="str">
        <f t="shared" si="499"/>
        <v>Internazionale5</v>
      </c>
      <c r="AN162" s="16" t="str">
        <f t="shared" si="500"/>
        <v>Real Madrid20</v>
      </c>
      <c r="AO162" s="16" t="str">
        <f t="shared" ref="AO162:AP162" si="506">concat(T154,AO154)</f>
        <v>Bayern de Munique19</v>
      </c>
      <c r="AP162" s="16" t="str">
        <f t="shared" si="506"/>
        <v>Paris Saint-Germain19</v>
      </c>
      <c r="AQ162" s="16" t="str">
        <f t="shared" si="502"/>
        <v>Bayern de Munique19</v>
      </c>
      <c r="AR162" s="16" t="str">
        <f t="shared" si="503"/>
        <v>Paris Saint-Germain19</v>
      </c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ht="12.75" customHeight="1">
      <c r="A163" s="15"/>
      <c r="B163" s="16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6"/>
      <c r="U163" s="16"/>
      <c r="V163" s="16"/>
      <c r="W163" s="16"/>
      <c r="X163" s="38" t="str">
        <f t="shared" ref="X163:Y163" si="507">concat(J155,X155)</f>
        <v>Liverpool17</v>
      </c>
      <c r="Y163" s="16" t="str">
        <f t="shared" si="507"/>
        <v>Bayern de Munique19</v>
      </c>
      <c r="Z163" s="16" t="str">
        <f t="shared" si="487"/>
        <v>Manchester City19</v>
      </c>
      <c r="AA163" s="16" t="str">
        <f t="shared" si="488"/>
        <v>Paris Saint-Germain19</v>
      </c>
      <c r="AB163" s="16" t="str">
        <f t="shared" ref="AB163:AC163" si="508">concat(N155,AB155)</f>
        <v>Real Madrid20</v>
      </c>
      <c r="AC163" s="16" t="str">
        <f t="shared" si="508"/>
        <v>Paris Saint-Germain19</v>
      </c>
      <c r="AD163" s="16" t="str">
        <f t="shared" si="490"/>
        <v>Bayern de Munique19</v>
      </c>
      <c r="AE163" s="16" t="str">
        <f t="shared" si="491"/>
        <v>Barcelona20</v>
      </c>
      <c r="AF163" s="16" t="str">
        <f t="shared" si="492"/>
        <v>Arsenal15</v>
      </c>
      <c r="AG163" s="16" t="str">
        <f t="shared" si="493"/>
        <v>Real Madrid20</v>
      </c>
      <c r="AH163" s="16" t="str">
        <f t="shared" si="494"/>
        <v>Bayern de Munique19</v>
      </c>
      <c r="AI163" s="16" t="str">
        <f t="shared" si="495"/>
        <v>Manchester City19</v>
      </c>
      <c r="AJ163" s="16" t="str">
        <f t="shared" si="496"/>
        <v>Real Madrid20</v>
      </c>
      <c r="AK163" s="16" t="str">
        <f t="shared" si="497"/>
        <v>Bayern de Munique19</v>
      </c>
      <c r="AL163" s="16" t="str">
        <f t="shared" si="498"/>
        <v>Villarreal1</v>
      </c>
      <c r="AM163" s="16" t="str">
        <f t="shared" si="499"/>
        <v>Bayern de Munique19</v>
      </c>
      <c r="AN163" s="16" t="str">
        <f t="shared" si="500"/>
        <v>Bayern de Munique19</v>
      </c>
      <c r="AO163" s="16" t="str">
        <f t="shared" ref="AO163:AP163" si="509">concat(T155,AO155)</f>
        <v>Manchester City19</v>
      </c>
      <c r="AP163" s="16" t="str">
        <f t="shared" si="509"/>
        <v>Real Madrid20</v>
      </c>
      <c r="AQ163" s="16" t="str">
        <f t="shared" si="502"/>
        <v>Paris Saint-Germain17</v>
      </c>
      <c r="AR163" s="16" t="str">
        <f t="shared" si="503"/>
        <v>Liverpool17</v>
      </c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ht="12.75" customHeight="1">
      <c r="A164" s="15"/>
      <c r="B164" s="16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  <c r="U164" s="16"/>
      <c r="V164" s="16"/>
      <c r="W164" s="16"/>
      <c r="X164" s="16" t="str">
        <f t="shared" ref="X164:Y164" si="510">concat(J156,X156)</f>
        <v>Real Madrid20</v>
      </c>
      <c r="Y164" s="16" t="str">
        <f t="shared" si="510"/>
        <v>Arsenal15</v>
      </c>
      <c r="Z164" s="16" t="str">
        <f t="shared" si="487"/>
        <v>Barcelona20</v>
      </c>
      <c r="AA164" s="16" t="str">
        <f t="shared" si="488"/>
        <v>Juventus6</v>
      </c>
      <c r="AB164" s="16" t="str">
        <f t="shared" ref="AB164:AC164" si="511">concat(N156,AB156)</f>
        <v>Chelsea17</v>
      </c>
      <c r="AC164" s="16" t="str">
        <f t="shared" si="511"/>
        <v>Real Madrid20</v>
      </c>
      <c r="AD164" s="16" t="str">
        <f t="shared" si="490"/>
        <v>Real Madrid20</v>
      </c>
      <c r="AE164" s="16" t="str">
        <f t="shared" si="491"/>
        <v>Manchester City19</v>
      </c>
      <c r="AF164" s="16" t="str">
        <f t="shared" si="492"/>
        <v>Manchester City19</v>
      </c>
      <c r="AG164" s="16" t="str">
        <f t="shared" si="493"/>
        <v>Bayern de Munique19</v>
      </c>
      <c r="AH164" s="16" t="str">
        <f t="shared" si="494"/>
        <v>Arsenal15</v>
      </c>
      <c r="AI164" s="16" t="str">
        <f t="shared" si="495"/>
        <v>Real Madrid20</v>
      </c>
      <c r="AJ164" s="16" t="str">
        <f t="shared" si="496"/>
        <v>Bayern de Munique19</v>
      </c>
      <c r="AK164" s="16" t="str">
        <f t="shared" si="497"/>
        <v>Napoli2</v>
      </c>
      <c r="AL164" s="16" t="str">
        <f t="shared" si="498"/>
        <v>Bayern de Munique19</v>
      </c>
      <c r="AM164" s="16" t="str">
        <f t="shared" si="499"/>
        <v>Juventus6</v>
      </c>
      <c r="AN164" s="16" t="str">
        <f t="shared" si="500"/>
        <v>Liverpool17</v>
      </c>
      <c r="AO164" s="16" t="str">
        <f t="shared" ref="AO164:AP164" si="512">concat(T156,AO156)</f>
        <v>Barcelona20</v>
      </c>
      <c r="AP164" s="16" t="str">
        <f t="shared" si="512"/>
        <v>Atalanta2</v>
      </c>
      <c r="AQ164" s="16" t="str">
        <f t="shared" si="502"/>
        <v>Arsenal19</v>
      </c>
      <c r="AR164" s="16" t="str">
        <f t="shared" si="503"/>
        <v>Bayern de Munique19</v>
      </c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ht="12.75" customHeight="1">
      <c r="A165" s="15"/>
      <c r="B165" s="16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6"/>
      <c r="U165" s="16"/>
      <c r="V165" s="16"/>
      <c r="W165" s="16"/>
      <c r="X165" s="38" t="str">
        <f t="shared" ref="X165:Y165" si="513">concat(J157,X157)</f>
        <v>Bayern de Munique19</v>
      </c>
      <c r="Y165" s="16" t="str">
        <f t="shared" si="513"/>
        <v>Real Madrid20</v>
      </c>
      <c r="Z165" s="16" t="str">
        <f t="shared" si="487"/>
        <v>Real Madrid20</v>
      </c>
      <c r="AA165" s="16" t="str">
        <f t="shared" si="488"/>
        <v>Chelsea17</v>
      </c>
      <c r="AB165" s="16" t="str">
        <f t="shared" ref="AB165:AC165" si="514">concat(N157,AB157)</f>
        <v>Bayern de Munique19</v>
      </c>
      <c r="AC165" s="16" t="str">
        <f t="shared" si="514"/>
        <v>Bayern de Munique19</v>
      </c>
      <c r="AD165" s="16" t="str">
        <f t="shared" si="490"/>
        <v>Arsenal15</v>
      </c>
      <c r="AE165" s="16" t="str">
        <f t="shared" si="491"/>
        <v>Bayern de Munique19</v>
      </c>
      <c r="AF165" s="16" t="str">
        <f t="shared" si="492"/>
        <v>Barcelona20</v>
      </c>
      <c r="AG165" s="16" t="str">
        <f t="shared" si="493"/>
        <v>Chelsea17</v>
      </c>
      <c r="AH165" s="16" t="str">
        <f t="shared" si="494"/>
        <v>Internazionale5</v>
      </c>
      <c r="AI165" s="16" t="str">
        <f t="shared" si="495"/>
        <v>Chelsea17</v>
      </c>
      <c r="AJ165" s="16" t="str">
        <f t="shared" si="496"/>
        <v>Manchester City19</v>
      </c>
      <c r="AK165" s="16" t="str">
        <f t="shared" si="497"/>
        <v>Juventus6</v>
      </c>
      <c r="AL165" s="16" t="str">
        <f t="shared" si="498"/>
        <v>Arsenal15</v>
      </c>
      <c r="AM165" s="16" t="str">
        <f t="shared" si="499"/>
        <v>Manchester City19</v>
      </c>
      <c r="AN165" s="16" t="str">
        <f t="shared" si="500"/>
        <v>Arsenal15</v>
      </c>
      <c r="AO165" s="16" t="str">
        <f t="shared" ref="AO165:AP165" si="515">concat(T157,AO157)</f>
        <v>Chelsea17</v>
      </c>
      <c r="AP165" s="16" t="str">
        <f t="shared" si="515"/>
        <v>Manchester City19</v>
      </c>
      <c r="AQ165" s="16" t="str">
        <f t="shared" si="502"/>
        <v>Internazionale15</v>
      </c>
      <c r="AR165" s="16" t="str">
        <f t="shared" si="503"/>
        <v>Arsenal15</v>
      </c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ht="12.75" customHeight="1">
      <c r="A166" s="15"/>
      <c r="B166" s="16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6"/>
      <c r="U166" s="16"/>
      <c r="V166" s="16"/>
      <c r="W166" s="16"/>
      <c r="X166" s="16" t="str">
        <f t="shared" ref="X166:Y166" si="516">concat(J158,X158)</f>
        <v>Juventus6</v>
      </c>
      <c r="Y166" s="16" t="str">
        <f t="shared" si="516"/>
        <v>Manchester City19</v>
      </c>
      <c r="Z166" s="16" t="str">
        <f t="shared" si="487"/>
        <v>Arsenal15</v>
      </c>
      <c r="AA166" s="16" t="str">
        <f t="shared" si="488"/>
        <v>Manchester City19</v>
      </c>
      <c r="AB166" s="16" t="str">
        <f t="shared" ref="AB166:AC166" si="517">concat(N158,AB158)</f>
        <v>Arsenal15</v>
      </c>
      <c r="AC166" s="16" t="str">
        <f t="shared" si="517"/>
        <v>Chelsea17</v>
      </c>
      <c r="AD166" s="16" t="str">
        <f t="shared" si="490"/>
        <v>Manchester City19</v>
      </c>
      <c r="AE166" s="16" t="str">
        <f t="shared" si="491"/>
        <v>Chelsea17</v>
      </c>
      <c r="AF166" s="16" t="str">
        <f t="shared" si="492"/>
        <v>Bayern de Munique19</v>
      </c>
      <c r="AG166" s="16" t="str">
        <f t="shared" si="493"/>
        <v>Juventus6</v>
      </c>
      <c r="AH166" s="16" t="str">
        <f t="shared" si="494"/>
        <v>Liverpool17</v>
      </c>
      <c r="AI166" s="16" t="str">
        <f t="shared" si="495"/>
        <v>Arsenal15</v>
      </c>
      <c r="AJ166" s="16" t="str">
        <f t="shared" si="496"/>
        <v>Barcelona20</v>
      </c>
      <c r="AK166" s="16" t="str">
        <f t="shared" si="497"/>
        <v>Barcelona20</v>
      </c>
      <c r="AL166" s="16" t="str">
        <f t="shared" si="498"/>
        <v>Paris Saint-Germain19</v>
      </c>
      <c r="AM166" s="16" t="str">
        <f t="shared" si="499"/>
        <v>Arsenal15</v>
      </c>
      <c r="AN166" s="16" t="str">
        <f t="shared" si="500"/>
        <v>Paris Saint-Germain19</v>
      </c>
      <c r="AO166" s="16" t="str">
        <f t="shared" ref="AO166:AP166" si="518">concat(T158,AO158)</f>
        <v>Liverpool17</v>
      </c>
      <c r="AP166" s="16" t="str">
        <f t="shared" si="518"/>
        <v>Arsenal15</v>
      </c>
      <c r="AQ166" s="16" t="str">
        <f t="shared" si="502"/>
        <v>Barcelona17</v>
      </c>
      <c r="AR166" s="16" t="str">
        <f t="shared" si="503"/>
        <v>Chelsea17</v>
      </c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ht="12.75" customHeight="1">
      <c r="A167" s="15"/>
      <c r="B167" s="16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6"/>
      <c r="U167" s="16"/>
      <c r="V167" s="16"/>
      <c r="W167" s="16"/>
      <c r="X167" s="38" t="str">
        <f t="shared" ref="X167:Y167" si="519">concat(J159,X159)</f>
        <v>Manchester City19</v>
      </c>
      <c r="Y167" s="16" t="str">
        <f t="shared" si="519"/>
        <v>Internazionale5</v>
      </c>
      <c r="Z167" s="16" t="str">
        <f t="shared" si="487"/>
        <v>Chelsea17</v>
      </c>
      <c r="AA167" s="16" t="str">
        <f t="shared" si="488"/>
        <v>Arsenal15</v>
      </c>
      <c r="AB167" s="16" t="str">
        <f t="shared" ref="AB167:AC167" si="520">concat(N159,AB159)</f>
        <v>Tottenham1</v>
      </c>
      <c r="AC167" s="16" t="str">
        <f t="shared" si="520"/>
        <v>Arsenal15</v>
      </c>
      <c r="AD167" s="16" t="str">
        <f t="shared" si="490"/>
        <v>Atlético de Madrid3</v>
      </c>
      <c r="AE167" s="16" t="str">
        <f t="shared" si="491"/>
        <v>Atlético de Madrid3</v>
      </c>
      <c r="AF167" s="16" t="str">
        <f t="shared" si="492"/>
        <v>Real Madrid20</v>
      </c>
      <c r="AG167" s="16" t="str">
        <f t="shared" si="493"/>
        <v>Napoli2</v>
      </c>
      <c r="AH167" s="16" t="str">
        <f t="shared" si="494"/>
        <v>Atalanta2</v>
      </c>
      <c r="AI167" s="16" t="str">
        <f t="shared" si="495"/>
        <v>Bayern de Munique19</v>
      </c>
      <c r="AJ167" s="16" t="str">
        <f t="shared" si="496"/>
        <v>Juventus6</v>
      </c>
      <c r="AK167" s="16" t="str">
        <f t="shared" si="497"/>
        <v>Manchester City19</v>
      </c>
      <c r="AL167" s="16" t="str">
        <f t="shared" si="498"/>
        <v>Manchester City19</v>
      </c>
      <c r="AM167" s="16" t="str">
        <f t="shared" si="499"/>
        <v>Real Madrid20</v>
      </c>
      <c r="AN167" s="16" t="str">
        <f t="shared" si="500"/>
        <v>Internazionale5</v>
      </c>
      <c r="AO167" s="16" t="str">
        <f t="shared" ref="AO167:AP167" si="521">concat(T159,AO159)</f>
        <v>Borussia Dortmund2</v>
      </c>
      <c r="AP167" s="16" t="str">
        <f t="shared" si="521"/>
        <v>Borussia Dortmund2</v>
      </c>
      <c r="AQ167" s="16" t="str">
        <f t="shared" si="502"/>
        <v>Liverpool3</v>
      </c>
      <c r="AR167" s="16" t="str">
        <f t="shared" si="503"/>
        <v>Atlético de Madrid3</v>
      </c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ht="12.75" customHeight="1">
      <c r="A168" s="15"/>
      <c r="B168" s="16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ht="12.75" customHeight="1">
      <c r="A169" s="15"/>
      <c r="B169" s="16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6"/>
      <c r="U169" s="16"/>
      <c r="V169" s="38"/>
      <c r="W169" s="38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ht="12.75" customHeight="1">
      <c r="A170" s="15"/>
      <c r="B170" s="16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6"/>
      <c r="U170" s="16"/>
      <c r="V170" s="38"/>
      <c r="W170" s="38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</row>
    <row r="171" ht="12.75" customHeight="1">
      <c r="A171" s="15"/>
      <c r="B171" s="16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6"/>
      <c r="U171" s="16"/>
      <c r="V171" s="38"/>
      <c r="W171" s="38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</row>
    <row r="172" ht="12.75" customHeight="1">
      <c r="A172" s="15"/>
      <c r="B172" s="16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/>
      <c r="U172" s="16"/>
      <c r="V172" s="38"/>
      <c r="W172" s="38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ht="12.75" customHeight="1">
      <c r="A173" s="15"/>
      <c r="B173" s="16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6"/>
      <c r="U173" s="16"/>
      <c r="V173" s="38"/>
      <c r="W173" s="38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</row>
    <row r="174" ht="12.75" customHeight="1">
      <c r="A174" s="15"/>
      <c r="B174" s="16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6"/>
      <c r="U174" s="16"/>
      <c r="V174" s="38"/>
      <c r="W174" s="38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</row>
    <row r="175" ht="12.75" customHeight="1">
      <c r="A175" s="15"/>
      <c r="B175" s="16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6"/>
      <c r="U175" s="16"/>
      <c r="V175" s="38"/>
      <c r="W175" s="38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</row>
    <row r="176" ht="12.75" customHeight="1">
      <c r="A176" s="15"/>
      <c r="B176" s="16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6"/>
      <c r="U176" s="16"/>
      <c r="V176" s="38"/>
      <c r="W176" s="38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</row>
    <row r="177" ht="12.75" customHeight="1">
      <c r="A177" s="15"/>
      <c r="B177" s="16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/>
      <c r="U177" s="16"/>
      <c r="V177" s="38"/>
      <c r="W177" s="38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ht="12.75" customHeight="1">
      <c r="A178" s="15"/>
      <c r="B178" s="16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6"/>
      <c r="U178" s="16"/>
      <c r="V178" s="38"/>
      <c r="W178" s="38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ht="12.75" customHeight="1">
      <c r="A179" s="15"/>
      <c r="B179" s="16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6"/>
      <c r="U179" s="16"/>
      <c r="V179" s="38"/>
      <c r="W179" s="38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ht="12.75" customHeight="1">
      <c r="A180" s="15"/>
      <c r="B180" s="16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</row>
    <row r="181" ht="12.75" customHeight="1">
      <c r="A181" s="15"/>
      <c r="B181" s="16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</row>
    <row r="182" ht="12.75" customHeight="1">
      <c r="A182" s="15"/>
      <c r="B182" s="16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</row>
    <row r="183" ht="12.75" customHeight="1">
      <c r="A183" s="15"/>
      <c r="B183" s="16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</row>
    <row r="184" ht="12.75" customHeight="1">
      <c r="A184" s="15"/>
      <c r="B184" s="16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</row>
    <row r="185" ht="12.75" customHeight="1">
      <c r="A185" s="15"/>
      <c r="B185" s="16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</row>
    <row r="186" ht="12.75" customHeight="1">
      <c r="A186" s="15"/>
      <c r="B186" s="16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</row>
    <row r="187" ht="12.75" customHeight="1">
      <c r="A187" s="15"/>
      <c r="B187" s="16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</row>
    <row r="188" ht="12.75" customHeight="1">
      <c r="A188" s="15"/>
      <c r="B188" s="16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</row>
    <row r="189" ht="12.75" customHeight="1">
      <c r="A189" s="15"/>
      <c r="B189" s="16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</row>
    <row r="190" ht="12.75" customHeight="1">
      <c r="A190" s="15"/>
      <c r="B190" s="16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</row>
    <row r="191" ht="12.75" customHeight="1">
      <c r="A191" s="15"/>
      <c r="B191" s="16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</row>
    <row r="192" ht="12.75" customHeight="1">
      <c r="A192" s="15"/>
      <c r="B192" s="16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</row>
    <row r="193" ht="12.75" customHeight="1">
      <c r="A193" s="15"/>
      <c r="B193" s="16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ht="12.75" customHeight="1">
      <c r="A194" s="15"/>
      <c r="B194" s="16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ht="12.75" customHeight="1">
      <c r="A195" s="15"/>
      <c r="B195" s="16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</row>
    <row r="196" ht="12.75" customHeight="1">
      <c r="A196" s="15"/>
      <c r="B196" s="16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ht="12.75" customHeight="1">
      <c r="A197" s="15"/>
      <c r="B197" s="16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ht="12.75" customHeight="1">
      <c r="A198" s="15"/>
      <c r="B198" s="16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ht="12.75" customHeight="1">
      <c r="A199" s="15"/>
      <c r="B199" s="16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ht="12.75" customHeight="1">
      <c r="A200" s="15"/>
      <c r="B200" s="16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ht="12.75" customHeight="1">
      <c r="A201" s="15"/>
      <c r="B201" s="16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</row>
    <row r="202" ht="12.75" customHeight="1">
      <c r="A202" s="15"/>
      <c r="B202" s="16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</row>
    <row r="203" ht="12.75" customHeight="1">
      <c r="A203" s="15"/>
      <c r="B203" s="16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</row>
    <row r="204" ht="12.75" customHeight="1">
      <c r="A204" s="15"/>
      <c r="B204" s="16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</row>
    <row r="205" ht="12.75" customHeight="1">
      <c r="A205" s="15"/>
      <c r="B205" s="16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</row>
    <row r="206" ht="12.75" customHeight="1">
      <c r="A206" s="15"/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</row>
    <row r="207" ht="12.75" customHeight="1">
      <c r="A207" s="15"/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</row>
    <row r="208" ht="12.75" customHeight="1">
      <c r="A208" s="15"/>
      <c r="B208" s="16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</row>
    <row r="209" ht="12.75" customHeight="1">
      <c r="A209" s="15"/>
      <c r="B209" s="16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</row>
    <row r="210" ht="12.75" customHeight="1">
      <c r="A210" s="15"/>
      <c r="B210" s="16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</row>
    <row r="211" ht="12.75" customHeight="1">
      <c r="A211" s="15"/>
      <c r="B211" s="16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</row>
    <row r="212" ht="12.75" customHeight="1">
      <c r="A212" s="15"/>
      <c r="B212" s="16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</row>
    <row r="213" ht="12.75" customHeight="1">
      <c r="A213" s="15"/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</row>
    <row r="214" ht="12.75" customHeight="1">
      <c r="A214" s="15"/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</row>
    <row r="215" ht="12.75" customHeight="1">
      <c r="A215" s="15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</row>
    <row r="216" ht="12.75" customHeight="1">
      <c r="A216" s="15"/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</row>
    <row r="217" ht="12.75" customHeight="1">
      <c r="A217" s="15"/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</row>
    <row r="218" ht="12.75" customHeight="1">
      <c r="A218" s="15"/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</row>
    <row r="219" ht="12.75" customHeight="1">
      <c r="A219" s="15"/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</row>
    <row r="220" ht="12.75" customHeight="1">
      <c r="A220" s="15"/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</row>
    <row r="221" ht="12.75" customHeight="1">
      <c r="A221" s="15"/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</row>
    <row r="222" ht="12.75" customHeight="1">
      <c r="A222" s="15"/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</row>
    <row r="223" ht="12.75" customHeight="1">
      <c r="A223" s="15"/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</row>
    <row r="224" ht="12.75" customHeight="1">
      <c r="A224" s="15"/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</row>
    <row r="225" ht="12.75" customHeight="1">
      <c r="A225" s="15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ht="12.75" customHeight="1">
      <c r="A226" s="15"/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ht="12.75" customHeight="1">
      <c r="A227" s="15"/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</row>
    <row r="228" ht="12.75" customHeight="1">
      <c r="A228" s="15"/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ht="12.75" customHeight="1">
      <c r="A229" s="15"/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</row>
    <row r="230" ht="12.75" customHeight="1">
      <c r="A230" s="15"/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</row>
    <row r="231" ht="12.75" customHeight="1">
      <c r="A231" s="15"/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</row>
    <row r="232" ht="12.75" customHeight="1">
      <c r="A232" s="15"/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</row>
    <row r="233" ht="12.75" customHeight="1">
      <c r="A233" s="15"/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</row>
    <row r="234" ht="12.75" customHeight="1">
      <c r="A234" s="15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</row>
    <row r="235" ht="12.75" customHeight="1">
      <c r="A235" s="15"/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</row>
    <row r="236" ht="12.75" customHeight="1">
      <c r="A236" s="15"/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</row>
    <row r="237" ht="12.75" customHeight="1">
      <c r="A237" s="15"/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</row>
    <row r="238" ht="12.75" customHeight="1">
      <c r="A238" s="15"/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</row>
    <row r="239" ht="12.75" customHeight="1">
      <c r="A239" s="15"/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</row>
    <row r="240" ht="12.75" customHeight="1">
      <c r="A240" s="15"/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</row>
    <row r="241" ht="12.75" customHeight="1">
      <c r="A241" s="15"/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</row>
    <row r="242" ht="12.75" customHeight="1">
      <c r="A242" s="15"/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</row>
    <row r="243" ht="12.75" customHeight="1">
      <c r="A243" s="15"/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</row>
    <row r="244" ht="12.75" customHeight="1">
      <c r="A244" s="15"/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</row>
    <row r="245" ht="12.75" customHeight="1">
      <c r="A245" s="15"/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</row>
    <row r="246" ht="12.75" customHeight="1">
      <c r="A246" s="15"/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</row>
    <row r="247" ht="12.75" customHeight="1">
      <c r="A247" s="15"/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</row>
    <row r="248" ht="12.75" customHeight="1">
      <c r="A248" s="15"/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</row>
    <row r="249" ht="12.75" customHeight="1">
      <c r="A249" s="15"/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</row>
    <row r="250" ht="12.75" customHeight="1">
      <c r="A250" s="15"/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</row>
    <row r="251" ht="12.75" customHeight="1">
      <c r="A251" s="15"/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</row>
    <row r="252" ht="12.75" customHeight="1">
      <c r="A252" s="15"/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</row>
    <row r="253" ht="12.75" customHeight="1">
      <c r="A253" s="15"/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</row>
    <row r="254" ht="12.75" customHeight="1">
      <c r="A254" s="15"/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</row>
    <row r="255" ht="12.75" customHeight="1">
      <c r="A255" s="15"/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</row>
    <row r="256" ht="12.75" customHeight="1">
      <c r="A256" s="15"/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</row>
    <row r="257" ht="12.75" customHeight="1">
      <c r="A257" s="15"/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</row>
    <row r="258" ht="12.75" customHeight="1">
      <c r="A258" s="15"/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</row>
    <row r="259" ht="12.75" customHeight="1">
      <c r="A259" s="15"/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</row>
    <row r="260" ht="12.75" customHeight="1">
      <c r="A260" s="15"/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</row>
    <row r="261" ht="12.75" customHeight="1">
      <c r="A261" s="15"/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</row>
    <row r="262" ht="12.75" customHeight="1">
      <c r="A262" s="15"/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</row>
    <row r="263" ht="12.75" customHeight="1">
      <c r="A263" s="15"/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</row>
    <row r="264" ht="12.75" customHeight="1">
      <c r="A264" s="15"/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</row>
    <row r="265" ht="12.75" customHeight="1">
      <c r="A265" s="15"/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ht="12.75" customHeight="1">
      <c r="A266" s="15"/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</row>
    <row r="267" ht="12.75" customHeight="1">
      <c r="A267" s="15"/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</row>
    <row r="268" ht="12.75" customHeight="1">
      <c r="A268" s="15"/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</row>
    <row r="269" ht="12.75" customHeight="1">
      <c r="A269" s="15"/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</row>
    <row r="270" ht="12.75" customHeight="1">
      <c r="A270" s="15"/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</row>
    <row r="271" ht="12.75" customHeight="1">
      <c r="A271" s="15"/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</row>
    <row r="272" ht="12.75" customHeight="1">
      <c r="A272" s="15"/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</row>
    <row r="273" ht="12.75" customHeight="1">
      <c r="A273" s="15"/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</row>
    <row r="274" ht="12.75" customHeight="1">
      <c r="A274" s="15"/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</row>
    <row r="275" ht="12.75" customHeight="1">
      <c r="A275" s="15"/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</row>
    <row r="276" ht="12.75" customHeight="1">
      <c r="A276" s="15"/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</row>
    <row r="277" ht="12.75" customHeight="1">
      <c r="A277" s="15"/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</row>
    <row r="278" ht="12.75" customHeight="1">
      <c r="A278" s="15"/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</row>
    <row r="279" ht="12.75" customHeight="1">
      <c r="A279" s="15"/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</row>
    <row r="280" ht="12.75" customHeight="1">
      <c r="A280" s="15"/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</row>
    <row r="281" ht="12.75" customHeight="1">
      <c r="A281" s="15"/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ht="12.75" customHeight="1">
      <c r="A282" s="15"/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</row>
    <row r="283" ht="12.75" customHeight="1">
      <c r="A283" s="15"/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</row>
    <row r="284" ht="12.75" customHeight="1">
      <c r="A284" s="15"/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</row>
    <row r="285" ht="12.75" customHeight="1">
      <c r="A285" s="15"/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</row>
    <row r="286" ht="12.75" customHeight="1">
      <c r="A286" s="15"/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</row>
    <row r="287" ht="12.75" customHeight="1">
      <c r="A287" s="15"/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</row>
    <row r="288" ht="12.75" customHeight="1">
      <c r="A288" s="15"/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</row>
    <row r="289" ht="12.75" customHeight="1">
      <c r="A289" s="15"/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</row>
    <row r="290" ht="12.75" customHeight="1">
      <c r="A290" s="15"/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</row>
    <row r="291" ht="12.75" customHeight="1">
      <c r="A291" s="15"/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</row>
    <row r="292" ht="12.75" customHeight="1">
      <c r="A292" s="15"/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</row>
    <row r="293" ht="12.75" customHeight="1">
      <c r="A293" s="15"/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</row>
    <row r="294" ht="12.75" customHeight="1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</row>
    <row r="295" ht="12.75" customHeight="1">
      <c r="A295" s="15"/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</row>
    <row r="296" ht="12.75" customHeight="1">
      <c r="A296" s="15"/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</row>
    <row r="297" ht="12.75" customHeight="1">
      <c r="A297" s="15"/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</row>
    <row r="298" ht="12.75" customHeight="1">
      <c r="A298" s="15"/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</row>
    <row r="299" ht="12.75" customHeight="1">
      <c r="A299" s="15"/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</row>
    <row r="300" ht="12.75" customHeight="1">
      <c r="A300" s="15"/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</row>
    <row r="301" ht="12.75" customHeight="1">
      <c r="A301" s="15"/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</row>
    <row r="302" ht="12.75" customHeight="1">
      <c r="A302" s="15"/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</row>
    <row r="303" ht="12.75" customHeight="1">
      <c r="A303" s="15"/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</row>
    <row r="304" ht="12.75" customHeight="1">
      <c r="A304" s="15"/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</row>
    <row r="305" ht="12.75" customHeight="1">
      <c r="A305" s="15"/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</row>
    <row r="306" ht="12.75" customHeight="1">
      <c r="A306" s="15"/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</row>
    <row r="307" ht="12.75" customHeight="1">
      <c r="A307" s="15"/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</row>
    <row r="308" ht="12.75" customHeight="1">
      <c r="A308" s="15"/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</row>
    <row r="309" ht="12.75" customHeight="1">
      <c r="A309" s="15"/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</row>
    <row r="310" ht="12.75" customHeight="1">
      <c r="A310" s="15"/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</row>
    <row r="311" ht="12.75" customHeight="1">
      <c r="A311" s="15"/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</row>
    <row r="312" ht="12.75" customHeight="1">
      <c r="A312" s="15"/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</row>
    <row r="313" ht="12.75" customHeight="1">
      <c r="A313" s="15"/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</row>
    <row r="314" ht="12.75" customHeight="1">
      <c r="A314" s="15"/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</row>
    <row r="315" ht="12.75" customHeight="1">
      <c r="A315" s="15"/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</row>
    <row r="316" ht="12.75" customHeight="1">
      <c r="A316" s="15"/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</row>
    <row r="317" ht="12.75" customHeight="1">
      <c r="A317" s="15"/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</row>
    <row r="318" ht="12.75" customHeight="1">
      <c r="A318" s="15"/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</row>
    <row r="319" ht="12.75" customHeight="1">
      <c r="A319" s="15"/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</row>
    <row r="320" ht="12.75" customHeight="1">
      <c r="A320" s="15"/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</row>
    <row r="321" ht="12.75" customHeight="1">
      <c r="A321" s="15"/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</row>
    <row r="322" ht="12.75" customHeight="1">
      <c r="A322" s="15"/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</row>
    <row r="323" ht="12.75" customHeight="1">
      <c r="A323" s="15"/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</row>
    <row r="324" ht="12.75" customHeight="1">
      <c r="A324" s="15"/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</row>
    <row r="325" ht="12.75" customHeight="1">
      <c r="A325" s="15"/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</row>
    <row r="326" ht="12.75" customHeight="1">
      <c r="A326" s="15"/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</row>
    <row r="327" ht="12.75" customHeight="1">
      <c r="A327" s="15"/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</row>
    <row r="328" ht="12.75" customHeight="1">
      <c r="A328" s="15"/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</row>
    <row r="329" ht="12.75" customHeight="1">
      <c r="A329" s="15"/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</row>
    <row r="330" ht="12.75" customHeight="1">
      <c r="A330" s="15"/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</row>
    <row r="331" ht="12.75" customHeight="1">
      <c r="A331" s="15"/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</row>
    <row r="332" ht="12.75" customHeight="1">
      <c r="A332" s="15"/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</row>
    <row r="333" ht="12.75" customHeight="1">
      <c r="A333" s="15"/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</row>
    <row r="334" ht="12.75" customHeight="1">
      <c r="A334" s="15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</row>
    <row r="335" ht="12.75" customHeight="1">
      <c r="A335" s="15"/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</row>
    <row r="336" ht="12.75" customHeight="1">
      <c r="A336" s="15"/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</row>
    <row r="337" ht="12.75" customHeight="1">
      <c r="A337" s="15"/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</row>
    <row r="338" ht="12.75" customHeight="1">
      <c r="A338" s="15"/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</row>
    <row r="339" ht="12.75" customHeight="1">
      <c r="A339" s="15"/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</row>
    <row r="340" ht="12.75" customHeight="1">
      <c r="A340" s="15"/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</row>
    <row r="341" ht="12.75" customHeight="1">
      <c r="A341" s="15"/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</row>
    <row r="342" ht="12.75" customHeight="1">
      <c r="A342" s="15"/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</row>
    <row r="343" ht="12.75" customHeight="1">
      <c r="A343" s="15"/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</row>
    <row r="344" ht="12.75" customHeight="1">
      <c r="A344" s="15"/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</row>
    <row r="345" ht="12.75" customHeight="1">
      <c r="A345" s="15"/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</row>
    <row r="346" ht="12.75" customHeight="1">
      <c r="A346" s="15"/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</row>
    <row r="347" ht="12.75" customHeight="1">
      <c r="A347" s="15"/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</row>
    <row r="348" ht="12.75" customHeight="1">
      <c r="A348" s="15"/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</row>
    <row r="349" ht="12.75" customHeight="1">
      <c r="A349" s="15"/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</row>
    <row r="350" ht="12.75" customHeight="1">
      <c r="A350" s="15"/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</row>
    <row r="351" ht="12.75" customHeight="1">
      <c r="A351" s="15"/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</row>
    <row r="352" ht="12.75" customHeight="1">
      <c r="A352" s="15"/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</row>
    <row r="353" ht="12.75" customHeight="1">
      <c r="A353" s="15"/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</row>
    <row r="354" ht="12.75" customHeight="1">
      <c r="A354" s="15"/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</row>
    <row r="355" ht="12.75" customHeight="1">
      <c r="A355" s="15"/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</row>
    <row r="356" ht="12.75" customHeight="1">
      <c r="A356" s="15"/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</row>
    <row r="357" ht="12.75" customHeight="1">
      <c r="A357" s="15"/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</row>
    <row r="358" ht="12.75" customHeight="1">
      <c r="A358" s="15"/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</row>
    <row r="359" ht="12.75" customHeight="1">
      <c r="A359" s="15"/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</row>
    <row r="360" ht="12.75" customHeight="1">
      <c r="A360" s="15"/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</row>
    <row r="361" ht="12.75" customHeight="1">
      <c r="A361" s="15"/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</row>
    <row r="362" ht="12.75" customHeight="1">
      <c r="A362" s="15"/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</row>
    <row r="363" ht="12.75" customHeight="1">
      <c r="A363" s="15"/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</row>
    <row r="364" ht="12.75" customHeight="1">
      <c r="A364" s="15"/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</row>
    <row r="365" ht="12.75" customHeight="1">
      <c r="A365" s="15"/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</row>
    <row r="366" ht="12.75" customHeight="1">
      <c r="A366" s="15"/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</row>
    <row r="367" ht="12.75" customHeight="1">
      <c r="A367" s="15"/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</row>
    <row r="368" ht="12.75" customHeight="1">
      <c r="A368" s="15"/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</row>
    <row r="369" ht="12.75" customHeight="1">
      <c r="A369" s="15"/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</row>
    <row r="370" ht="12.75" customHeight="1">
      <c r="A370" s="15"/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</row>
    <row r="371" ht="12.75" customHeight="1">
      <c r="A371" s="15"/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</row>
    <row r="372" ht="12.75" customHeight="1">
      <c r="A372" s="15"/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</row>
    <row r="373" ht="12.75" customHeight="1">
      <c r="A373" s="15"/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</row>
    <row r="374" ht="12.75" customHeight="1">
      <c r="A374" s="15"/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</row>
    <row r="375" ht="12.75" customHeight="1">
      <c r="A375" s="15"/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</row>
    <row r="376" ht="12.75" customHeight="1">
      <c r="A376" s="15"/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</row>
    <row r="377" ht="12.75" customHeight="1">
      <c r="A377" s="15"/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</row>
    <row r="378" ht="12.75" customHeight="1">
      <c r="A378" s="15"/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</row>
    <row r="379" ht="12.75" customHeight="1">
      <c r="A379" s="15"/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</row>
    <row r="380" ht="12.75" customHeight="1">
      <c r="A380" s="15"/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</row>
    <row r="381" ht="12.75" customHeight="1">
      <c r="A381" s="15"/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</row>
    <row r="382" ht="12.75" customHeight="1">
      <c r="A382" s="15"/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</row>
    <row r="383" ht="12.75" customHeight="1">
      <c r="A383" s="15"/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</row>
    <row r="384" ht="12.75" customHeight="1">
      <c r="A384" s="15"/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</row>
    <row r="385" ht="12.75" customHeight="1">
      <c r="A385" s="15"/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</row>
    <row r="386" ht="12.75" customHeight="1">
      <c r="A386" s="15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</row>
    <row r="387" ht="12.75" customHeight="1">
      <c r="A387" s="15"/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</row>
    <row r="388" ht="12.75" customHeight="1">
      <c r="A388" s="15"/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</row>
    <row r="389" ht="12.75" customHeight="1">
      <c r="A389" s="15"/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</row>
    <row r="390" ht="12.75" customHeight="1">
      <c r="A390" s="15"/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</row>
    <row r="391" ht="12.75" customHeight="1">
      <c r="A391" s="15"/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</row>
    <row r="392" ht="12.75" customHeight="1">
      <c r="A392" s="15"/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</row>
    <row r="393" ht="12.75" customHeight="1">
      <c r="A393" s="15"/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</row>
    <row r="394" ht="12.75" customHeight="1">
      <c r="A394" s="15"/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</row>
    <row r="395" ht="12.75" customHeight="1">
      <c r="A395" s="15"/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</row>
    <row r="396" ht="12.75" customHeight="1">
      <c r="A396" s="15"/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</row>
    <row r="397" ht="12.75" customHeight="1">
      <c r="A397" s="15"/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</row>
    <row r="398" ht="12.75" customHeight="1">
      <c r="A398" s="15"/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</row>
    <row r="399" ht="12.75" customHeight="1">
      <c r="A399" s="15"/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</row>
    <row r="400" ht="12.75" customHeight="1">
      <c r="A400" s="15"/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</row>
    <row r="401" ht="12.75" customHeight="1">
      <c r="A401" s="15"/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</row>
    <row r="402" ht="12.75" customHeight="1">
      <c r="A402" s="15"/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</row>
    <row r="403" ht="12.75" customHeight="1">
      <c r="A403" s="15"/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</row>
    <row r="404" ht="12.75" customHeight="1">
      <c r="A404" s="15"/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</row>
    <row r="405" ht="12.75" customHeight="1">
      <c r="A405" s="15"/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</row>
    <row r="406" ht="12.75" customHeight="1">
      <c r="A406" s="15"/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</row>
    <row r="407" ht="12.75" customHeight="1">
      <c r="A407" s="15"/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</row>
    <row r="408" ht="12.75" customHeight="1">
      <c r="A408" s="15"/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</row>
    <row r="409" ht="12.75" customHeight="1">
      <c r="A409" s="15"/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</row>
    <row r="410" ht="12.75" customHeight="1">
      <c r="A410" s="15"/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</row>
    <row r="411" ht="12.75" customHeight="1">
      <c r="A411" s="15"/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</row>
    <row r="412" ht="12.75" customHeight="1">
      <c r="A412" s="15"/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</row>
    <row r="413" ht="12.75" customHeight="1">
      <c r="A413" s="15"/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</row>
    <row r="414" ht="12.75" customHeight="1">
      <c r="A414" s="15"/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</row>
    <row r="415" ht="12.75" customHeight="1">
      <c r="A415" s="15"/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</row>
    <row r="416" ht="12.75" customHeight="1">
      <c r="A416" s="15"/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</row>
    <row r="417" ht="12.75" customHeight="1">
      <c r="A417" s="15"/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</row>
    <row r="418" ht="12.75" customHeight="1">
      <c r="A418" s="15"/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</row>
    <row r="419" ht="12.75" customHeight="1">
      <c r="A419" s="15"/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</row>
    <row r="420" ht="12.75" customHeight="1">
      <c r="A420" s="15"/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</row>
    <row r="421" ht="12.75" customHeight="1">
      <c r="A421" s="15"/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</row>
    <row r="422" ht="12.75" customHeight="1">
      <c r="A422" s="15"/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</row>
    <row r="423" ht="12.75" customHeight="1">
      <c r="A423" s="15"/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</row>
    <row r="424" ht="12.75" customHeight="1">
      <c r="A424" s="15"/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</row>
    <row r="425" ht="12.75" customHeight="1">
      <c r="A425" s="15"/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</row>
    <row r="426" ht="12.75" customHeight="1">
      <c r="A426" s="15"/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</row>
    <row r="427" ht="12.75" customHeight="1">
      <c r="A427" s="15"/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</row>
    <row r="428" ht="12.75" customHeight="1">
      <c r="A428" s="15"/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</row>
    <row r="429" ht="12.75" customHeight="1">
      <c r="A429" s="15"/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</row>
    <row r="430" ht="12.75" customHeight="1">
      <c r="A430" s="15"/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</row>
    <row r="431" ht="12.75" customHeight="1">
      <c r="A431" s="15"/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</row>
    <row r="432" ht="12.75" customHeight="1">
      <c r="A432" s="15"/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</row>
    <row r="433" ht="12.75" customHeight="1">
      <c r="A433" s="15"/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</row>
    <row r="434" ht="12.75" customHeight="1">
      <c r="A434" s="15"/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</row>
    <row r="435" ht="12.75" customHeight="1">
      <c r="A435" s="15"/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</row>
    <row r="436" ht="12.75" customHeight="1">
      <c r="A436" s="15"/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</row>
    <row r="437" ht="12.75" customHeight="1">
      <c r="A437" s="15"/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</row>
    <row r="438" ht="12.75" customHeight="1">
      <c r="A438" s="15"/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</row>
    <row r="439" ht="12.75" customHeight="1">
      <c r="A439" s="15"/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</row>
    <row r="440" ht="12.75" customHeight="1">
      <c r="A440" s="15"/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</row>
    <row r="441" ht="12.75" customHeight="1">
      <c r="A441" s="15"/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</row>
    <row r="442" ht="12.75" customHeight="1">
      <c r="A442" s="15"/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</row>
    <row r="443" ht="12.75" customHeight="1">
      <c r="A443" s="15"/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</row>
    <row r="444" ht="12.75" customHeight="1">
      <c r="A444" s="15"/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</row>
    <row r="445" ht="12.75" customHeight="1">
      <c r="A445" s="15"/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</row>
    <row r="446" ht="12.75" customHeight="1">
      <c r="A446" s="15"/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</row>
    <row r="447" ht="12.75" customHeight="1">
      <c r="A447" s="15"/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</row>
    <row r="448" ht="12.75" customHeight="1">
      <c r="A448" s="15"/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</row>
    <row r="449" ht="12.75" customHeight="1">
      <c r="A449" s="15"/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</row>
    <row r="450" ht="12.75" customHeight="1">
      <c r="A450" s="15"/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</row>
    <row r="451" ht="12.75" customHeight="1">
      <c r="A451" s="15"/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</row>
    <row r="452" ht="12.75" customHeight="1">
      <c r="A452" s="15"/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</row>
    <row r="453" ht="12.75" customHeight="1">
      <c r="A453" s="15"/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</row>
    <row r="454" ht="12.75" customHeight="1">
      <c r="A454" s="15"/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</row>
    <row r="455" ht="12.75" customHeight="1">
      <c r="A455" s="15"/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</row>
    <row r="456" ht="12.75" customHeight="1">
      <c r="A456" s="15"/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</row>
    <row r="457" ht="12.75" customHeight="1">
      <c r="A457" s="15"/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</row>
    <row r="458" ht="12.75" customHeight="1">
      <c r="A458" s="15"/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</row>
    <row r="459" ht="12.75" customHeight="1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</row>
    <row r="460" ht="12.75" customHeight="1">
      <c r="A460" s="15"/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</row>
    <row r="461" ht="12.75" customHeight="1">
      <c r="A461" s="15"/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</row>
    <row r="462" ht="12.75" customHeight="1">
      <c r="A462" s="15"/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</row>
    <row r="463" ht="12.75" customHeight="1">
      <c r="A463" s="15"/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</row>
    <row r="464" ht="12.75" customHeight="1">
      <c r="A464" s="15"/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</row>
    <row r="465" ht="12.75" customHeight="1">
      <c r="A465" s="15"/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</row>
    <row r="466" ht="12.75" customHeight="1">
      <c r="A466" s="15"/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</row>
    <row r="467" ht="12.75" customHeight="1">
      <c r="A467" s="15"/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</row>
    <row r="468" ht="12.75" customHeight="1">
      <c r="A468" s="15"/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</row>
    <row r="469" ht="12.75" customHeight="1">
      <c r="A469" s="15"/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</row>
    <row r="470" ht="12.75" customHeight="1">
      <c r="A470" s="15"/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</row>
    <row r="471" ht="12.75" customHeight="1">
      <c r="A471" s="15"/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</row>
    <row r="472" ht="12.75" customHeight="1">
      <c r="A472" s="15"/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</row>
    <row r="473" ht="12.75" customHeight="1">
      <c r="A473" s="15"/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</row>
    <row r="474" ht="12.75" customHeight="1">
      <c r="A474" s="15"/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</row>
    <row r="475" ht="12.75" customHeight="1">
      <c r="A475" s="15"/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</row>
    <row r="476" ht="12.75" customHeight="1">
      <c r="A476" s="15"/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</row>
    <row r="477" ht="12.75" customHeight="1">
      <c r="A477" s="15"/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</row>
    <row r="478" ht="12.75" customHeight="1">
      <c r="A478" s="15"/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</row>
    <row r="479" ht="12.75" customHeight="1">
      <c r="A479" s="15"/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</row>
    <row r="480" ht="12.75" customHeight="1">
      <c r="A480" s="15"/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</row>
    <row r="481" ht="12.75" customHeight="1">
      <c r="A481" s="15"/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</row>
    <row r="482" ht="12.75" customHeight="1">
      <c r="A482" s="15"/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</row>
    <row r="483" ht="12.75" customHeight="1">
      <c r="A483" s="15"/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</row>
    <row r="484" ht="12.75" customHeight="1">
      <c r="A484" s="15"/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</row>
    <row r="485" ht="12.75" customHeight="1">
      <c r="A485" s="15"/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</row>
    <row r="486" ht="12.75" customHeight="1">
      <c r="A486" s="15"/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</row>
    <row r="487" ht="12.75" customHeight="1">
      <c r="A487" s="15"/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</row>
    <row r="488" ht="12.75" customHeight="1">
      <c r="A488" s="15"/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</row>
    <row r="489" ht="12.75" customHeight="1">
      <c r="A489" s="15"/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</row>
    <row r="490" ht="12.75" customHeight="1">
      <c r="A490" s="15"/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</row>
    <row r="491" ht="12.75" customHeight="1">
      <c r="A491" s="15"/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</row>
    <row r="492" ht="12.75" customHeight="1">
      <c r="A492" s="15"/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</row>
    <row r="493" ht="12.75" customHeight="1">
      <c r="A493" s="15"/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</row>
    <row r="494" ht="12.75" customHeight="1">
      <c r="A494" s="15"/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</row>
    <row r="495" ht="12.75" customHeight="1">
      <c r="A495" s="15"/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</row>
    <row r="496" ht="12.75" customHeight="1">
      <c r="A496" s="15"/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</row>
    <row r="497" ht="12.75" customHeight="1">
      <c r="A497" s="15"/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</row>
    <row r="498" ht="12.75" customHeight="1">
      <c r="A498" s="15"/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</row>
    <row r="499" ht="12.75" customHeight="1">
      <c r="A499" s="15"/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</row>
    <row r="500" ht="12.75" customHeight="1">
      <c r="A500" s="15"/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</row>
    <row r="501" ht="12.75" customHeight="1">
      <c r="A501" s="15"/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</row>
    <row r="502" ht="12.75" customHeight="1">
      <c r="A502" s="15"/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</row>
    <row r="503" ht="12.75" customHeight="1">
      <c r="A503" s="15"/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</row>
    <row r="504" ht="12.75" customHeight="1">
      <c r="A504" s="15"/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</row>
    <row r="505" ht="12.75" customHeight="1">
      <c r="A505" s="15"/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</row>
    <row r="506" ht="12.75" customHeight="1">
      <c r="A506" s="15"/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</row>
    <row r="507" ht="12.75" customHeight="1">
      <c r="A507" s="15"/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</row>
    <row r="508" ht="12.75" customHeight="1">
      <c r="A508" s="15"/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</row>
    <row r="509" ht="12.75" customHeight="1">
      <c r="A509" s="15"/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</row>
    <row r="510" ht="12.75" customHeight="1">
      <c r="A510" s="15"/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</row>
    <row r="511" ht="12.75" customHeight="1">
      <c r="A511" s="15"/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</row>
    <row r="512" ht="12.75" customHeight="1">
      <c r="A512" s="15"/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</row>
    <row r="513" ht="12.75" customHeight="1">
      <c r="A513" s="15"/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</row>
    <row r="514" ht="12.75" customHeight="1">
      <c r="A514" s="15"/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</row>
    <row r="515" ht="12.75" customHeight="1">
      <c r="A515" s="15"/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</row>
    <row r="516" ht="12.75" customHeight="1">
      <c r="A516" s="15"/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</row>
    <row r="517" ht="12.75" customHeight="1">
      <c r="A517" s="15"/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</row>
    <row r="518" ht="12.75" customHeight="1">
      <c r="A518" s="15"/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</row>
    <row r="519" ht="12.75" customHeight="1">
      <c r="A519" s="15"/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</row>
    <row r="520" ht="12.75" customHeight="1">
      <c r="A520" s="15"/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</row>
    <row r="521" ht="12.75" customHeight="1">
      <c r="A521" s="15"/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</row>
    <row r="522" ht="12.75" customHeight="1">
      <c r="A522" s="15"/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</row>
    <row r="523" ht="12.75" customHeight="1">
      <c r="A523" s="15"/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</row>
    <row r="524" ht="12.75" customHeight="1">
      <c r="A524" s="15"/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</row>
    <row r="525" ht="12.75" customHeight="1">
      <c r="A525" s="15"/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</row>
    <row r="526" ht="12.75" customHeight="1">
      <c r="A526" s="15"/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</row>
    <row r="527" ht="12.75" customHeight="1">
      <c r="A527" s="15"/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</row>
    <row r="528" ht="12.75" customHeight="1">
      <c r="A528" s="15"/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</row>
    <row r="529" ht="12.75" customHeight="1">
      <c r="A529" s="15"/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</row>
    <row r="530" ht="12.75" customHeight="1">
      <c r="A530" s="15"/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</row>
    <row r="531" ht="12.75" customHeight="1">
      <c r="A531" s="15"/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</row>
    <row r="532" ht="12.75" customHeight="1">
      <c r="A532" s="15"/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</row>
    <row r="533" ht="12.75" customHeight="1">
      <c r="A533" s="15"/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</row>
    <row r="534" ht="12.75" customHeight="1">
      <c r="A534" s="15"/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</row>
    <row r="535" ht="12.75" customHeight="1">
      <c r="A535" s="15"/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</row>
    <row r="536" ht="12.75" customHeight="1">
      <c r="A536" s="15"/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</row>
    <row r="537" ht="12.75" customHeight="1">
      <c r="A537" s="15"/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</row>
    <row r="538" ht="12.75" customHeight="1">
      <c r="A538" s="15"/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</row>
    <row r="539" ht="12.75" customHeight="1">
      <c r="A539" s="15"/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</row>
    <row r="540" ht="12.75" customHeight="1">
      <c r="A540" s="15"/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</row>
    <row r="541" ht="12.75" customHeight="1">
      <c r="A541" s="15"/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</row>
    <row r="542" ht="12.75" customHeight="1">
      <c r="A542" s="15"/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</row>
    <row r="543" ht="12.75" customHeight="1">
      <c r="A543" s="15"/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</row>
    <row r="544" ht="12.75" customHeight="1">
      <c r="A544" s="15"/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</row>
    <row r="545" ht="12.75" customHeight="1">
      <c r="A545" s="15"/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</row>
    <row r="546" ht="12.75" customHeight="1">
      <c r="A546" s="15"/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</row>
    <row r="547" ht="12.75" customHeight="1">
      <c r="A547" s="15"/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</row>
    <row r="548" ht="12.75" customHeight="1">
      <c r="A548" s="15"/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</row>
    <row r="549" ht="12.75" customHeight="1">
      <c r="A549" s="15"/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</row>
    <row r="550" ht="12.75" customHeight="1">
      <c r="A550" s="15"/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</row>
    <row r="551" ht="12.75" customHeight="1">
      <c r="A551" s="15"/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</row>
    <row r="552" ht="12.75" customHeight="1">
      <c r="A552" s="15"/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</row>
    <row r="553" ht="12.75" customHeight="1">
      <c r="A553" s="15"/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</row>
    <row r="554" ht="12.75" customHeight="1">
      <c r="A554" s="15"/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</row>
    <row r="555" ht="12.75" customHeight="1">
      <c r="A555" s="15"/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</row>
    <row r="556" ht="12.75" customHeight="1">
      <c r="A556" s="15"/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</row>
    <row r="557" ht="12.75" customHeight="1">
      <c r="A557" s="15"/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</row>
    <row r="558" ht="12.75" customHeight="1">
      <c r="A558" s="15"/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</row>
    <row r="559" ht="12.75" customHeight="1">
      <c r="A559" s="15"/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</row>
    <row r="560" ht="12.75" customHeight="1">
      <c r="A560" s="15"/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</row>
    <row r="561" ht="12.75" customHeight="1">
      <c r="A561" s="15"/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</row>
    <row r="562" ht="12.75" customHeight="1">
      <c r="A562" s="15"/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</row>
    <row r="563" ht="12.75" customHeight="1">
      <c r="A563" s="15"/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</row>
    <row r="564" ht="12.75" customHeight="1">
      <c r="A564" s="15"/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</row>
    <row r="565" ht="12.75" customHeight="1">
      <c r="A565" s="15"/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</row>
    <row r="566" ht="12.75" customHeight="1">
      <c r="A566" s="15"/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</row>
    <row r="567" ht="12.75" customHeight="1">
      <c r="A567" s="15"/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</row>
    <row r="568" ht="12.75" customHeight="1">
      <c r="A568" s="15"/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</row>
    <row r="569" ht="12.75" customHeight="1">
      <c r="A569" s="15"/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</row>
    <row r="570" ht="12.75" customHeight="1">
      <c r="A570" s="15"/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</row>
    <row r="571" ht="12.75" customHeight="1">
      <c r="A571" s="15"/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</row>
    <row r="572" ht="12.75" customHeight="1">
      <c r="A572" s="15"/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</row>
    <row r="573" ht="12.75" customHeight="1">
      <c r="A573" s="15"/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</row>
    <row r="574" ht="12.75" customHeight="1">
      <c r="A574" s="15"/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</row>
    <row r="575" ht="12.75" customHeight="1">
      <c r="A575" s="15"/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</row>
    <row r="576" ht="12.75" customHeight="1">
      <c r="A576" s="15"/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</row>
    <row r="577" ht="12.75" customHeight="1">
      <c r="A577" s="15"/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</row>
    <row r="578" ht="12.75" customHeight="1">
      <c r="A578" s="15"/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</row>
    <row r="579" ht="12.75" customHeight="1">
      <c r="A579" s="15"/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</row>
    <row r="580" ht="12.75" customHeight="1">
      <c r="A580" s="15"/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</row>
    <row r="581" ht="12.75" customHeight="1">
      <c r="A581" s="15"/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</row>
    <row r="582" ht="12.75" customHeight="1">
      <c r="A582" s="15"/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</row>
    <row r="583" ht="12.75" customHeight="1">
      <c r="A583" s="15"/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</row>
    <row r="584" ht="12.75" customHeight="1">
      <c r="A584" s="15"/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</row>
    <row r="585" ht="12.75" customHeight="1">
      <c r="A585" s="15"/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</row>
    <row r="586" ht="12.75" customHeight="1">
      <c r="A586" s="15"/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</row>
    <row r="587" ht="12.75" customHeight="1">
      <c r="A587" s="15"/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</row>
    <row r="588" ht="12.75" customHeight="1">
      <c r="A588" s="15"/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</row>
    <row r="589" ht="12.75" customHeight="1">
      <c r="A589" s="15"/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</row>
    <row r="590" ht="12.75" customHeight="1">
      <c r="A590" s="15"/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</row>
    <row r="591" ht="12.75" customHeight="1">
      <c r="A591" s="15"/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</row>
    <row r="592" ht="12.75" customHeight="1">
      <c r="A592" s="15"/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</row>
    <row r="593" ht="12.75" customHeight="1">
      <c r="A593" s="15"/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</row>
    <row r="594" ht="12.75" customHeight="1">
      <c r="A594" s="15"/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</row>
    <row r="595" ht="12.75" customHeight="1">
      <c r="A595" s="15"/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</row>
    <row r="596" ht="12.75" customHeight="1">
      <c r="A596" s="15"/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</row>
    <row r="597" ht="12.75" customHeight="1">
      <c r="A597" s="15"/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</row>
    <row r="598" ht="12.75" customHeight="1">
      <c r="A598" s="15"/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</row>
    <row r="599" ht="12.75" customHeight="1">
      <c r="A599" s="15"/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</row>
    <row r="600" ht="12.75" customHeight="1">
      <c r="A600" s="15"/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</row>
    <row r="601" ht="12.75" customHeight="1">
      <c r="A601" s="15"/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</row>
    <row r="602" ht="12.75" customHeight="1">
      <c r="A602" s="15"/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</row>
    <row r="603" ht="12.75" customHeight="1">
      <c r="A603" s="15"/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</row>
    <row r="604" ht="12.75" customHeight="1">
      <c r="A604" s="15"/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</row>
    <row r="605" ht="12.75" customHeight="1">
      <c r="A605" s="15"/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</row>
    <row r="606" ht="12.75" customHeight="1">
      <c r="A606" s="15"/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</row>
    <row r="607" ht="12.75" customHeight="1">
      <c r="A607" s="15"/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</row>
    <row r="608" ht="12.75" customHeight="1">
      <c r="A608" s="15"/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</row>
    <row r="609" ht="12.75" customHeight="1">
      <c r="A609" s="15"/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</row>
    <row r="610" ht="12.75" customHeight="1">
      <c r="A610" s="15"/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</row>
    <row r="611" ht="12.75" customHeight="1">
      <c r="A611" s="15"/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</row>
    <row r="612" ht="12.75" customHeight="1">
      <c r="A612" s="15"/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</row>
    <row r="613" ht="12.75" customHeight="1">
      <c r="A613" s="15"/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</row>
    <row r="614" ht="12.75" customHeight="1">
      <c r="A614" s="15"/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</row>
    <row r="615" ht="12.75" customHeight="1">
      <c r="A615" s="15"/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</row>
    <row r="616" ht="12.75" customHeight="1">
      <c r="A616" s="15"/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</row>
    <row r="617" ht="12.75" customHeight="1">
      <c r="A617" s="15"/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</row>
    <row r="618" ht="12.75" customHeight="1">
      <c r="A618" s="15"/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</row>
    <row r="619" ht="12.75" customHeight="1">
      <c r="A619" s="15"/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</row>
    <row r="620" ht="12.75" customHeight="1">
      <c r="A620" s="15"/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</row>
    <row r="621" ht="12.75" customHeight="1">
      <c r="A621" s="15"/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</row>
    <row r="622" ht="12.75" customHeight="1">
      <c r="A622" s="15"/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</row>
    <row r="623" ht="12.75" customHeight="1">
      <c r="A623" s="15"/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</row>
    <row r="624" ht="12.75" customHeight="1">
      <c r="A624" s="15"/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</row>
    <row r="625" ht="12.75" customHeight="1">
      <c r="A625" s="15"/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</row>
    <row r="626" ht="12.75" customHeight="1">
      <c r="A626" s="15"/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</row>
    <row r="627" ht="12.75" customHeight="1">
      <c r="A627" s="15"/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</row>
    <row r="628" ht="12.75" customHeight="1">
      <c r="A628" s="15"/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</row>
    <row r="629" ht="12.75" customHeight="1">
      <c r="A629" s="15"/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</row>
    <row r="630" ht="12.75" customHeight="1">
      <c r="A630" s="15"/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</row>
    <row r="631" ht="12.75" customHeight="1">
      <c r="A631" s="15"/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</row>
    <row r="632" ht="12.75" customHeight="1">
      <c r="A632" s="15"/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</row>
    <row r="633" ht="12.75" customHeight="1">
      <c r="A633" s="15"/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</row>
    <row r="634" ht="12.75" customHeight="1">
      <c r="A634" s="15"/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</row>
    <row r="635" ht="12.75" customHeight="1">
      <c r="A635" s="15"/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</row>
    <row r="636" ht="12.75" customHeight="1">
      <c r="A636" s="15"/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</row>
    <row r="637" ht="12.75" customHeight="1">
      <c r="A637" s="15"/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</row>
    <row r="638" ht="12.75" customHeight="1">
      <c r="A638" s="15"/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</row>
    <row r="639" ht="12.75" customHeight="1">
      <c r="A639" s="15"/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</row>
    <row r="640" ht="12.75" customHeight="1">
      <c r="A640" s="15"/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</row>
    <row r="641" ht="12.75" customHeight="1">
      <c r="A641" s="15"/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</row>
    <row r="642" ht="12.75" customHeight="1">
      <c r="A642" s="15"/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</row>
    <row r="643" ht="12.75" customHeight="1">
      <c r="A643" s="15"/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</row>
    <row r="644" ht="12.75" customHeight="1">
      <c r="A644" s="15"/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</row>
    <row r="645" ht="12.75" customHeight="1">
      <c r="A645" s="15"/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</row>
    <row r="646" ht="12.75" customHeight="1">
      <c r="A646" s="15"/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</row>
    <row r="647" ht="12.75" customHeight="1">
      <c r="A647" s="15"/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</row>
    <row r="648" ht="12.75" customHeight="1">
      <c r="A648" s="15"/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</row>
    <row r="649" ht="12.75" customHeight="1">
      <c r="A649" s="15"/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</row>
    <row r="650" ht="12.75" customHeight="1">
      <c r="A650" s="15"/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</row>
    <row r="651" ht="12.75" customHeight="1">
      <c r="A651" s="15"/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</row>
    <row r="652" ht="12.75" customHeight="1">
      <c r="A652" s="15"/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</row>
    <row r="653" ht="12.75" customHeight="1">
      <c r="A653" s="15"/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</row>
    <row r="654" ht="12.75" customHeight="1">
      <c r="A654" s="15"/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</row>
    <row r="655" ht="12.75" customHeight="1">
      <c r="A655" s="15"/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</row>
    <row r="656" ht="12.75" customHeight="1">
      <c r="A656" s="15"/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</row>
    <row r="657" ht="12.75" customHeight="1">
      <c r="A657" s="15"/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</row>
    <row r="658" ht="12.75" customHeight="1">
      <c r="A658" s="15"/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</row>
    <row r="659" ht="12.75" customHeight="1">
      <c r="A659" s="15"/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</row>
    <row r="660" ht="12.75" customHeight="1">
      <c r="A660" s="15"/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</row>
    <row r="661" ht="12.75" customHeight="1">
      <c r="A661" s="15"/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</row>
    <row r="662" ht="12.75" customHeight="1">
      <c r="A662" s="15"/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</row>
    <row r="663" ht="12.75" customHeight="1">
      <c r="A663" s="15"/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</row>
    <row r="664" ht="12.75" customHeight="1">
      <c r="A664" s="15"/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</row>
    <row r="665" ht="12.75" customHeight="1">
      <c r="A665" s="15"/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</row>
    <row r="666" ht="12.75" customHeight="1">
      <c r="A666" s="15"/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</row>
    <row r="667" ht="12.75" customHeight="1">
      <c r="A667" s="15"/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</row>
    <row r="668" ht="12.75" customHeight="1">
      <c r="A668" s="15"/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</row>
    <row r="669" ht="12.75" customHeight="1">
      <c r="A669" s="15"/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</row>
    <row r="670" ht="12.75" customHeight="1">
      <c r="A670" s="15"/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</row>
    <row r="671" ht="12.75" customHeight="1">
      <c r="A671" s="15"/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</row>
    <row r="672" ht="12.75" customHeight="1">
      <c r="A672" s="15"/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</row>
    <row r="673" ht="12.75" customHeight="1">
      <c r="A673" s="15"/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</row>
    <row r="674" ht="12.75" customHeight="1">
      <c r="A674" s="15"/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</row>
    <row r="675" ht="12.75" customHeight="1">
      <c r="A675" s="15"/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</row>
    <row r="676" ht="12.75" customHeight="1">
      <c r="A676" s="15"/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</row>
    <row r="677" ht="12.75" customHeight="1">
      <c r="A677" s="15"/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</row>
    <row r="678" ht="12.75" customHeight="1">
      <c r="A678" s="15"/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</row>
    <row r="679" ht="12.75" customHeight="1">
      <c r="A679" s="15"/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</row>
    <row r="680" ht="12.75" customHeight="1">
      <c r="A680" s="15"/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</row>
    <row r="681" ht="12.75" customHeight="1">
      <c r="A681" s="15"/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</row>
    <row r="682" ht="12.75" customHeight="1">
      <c r="A682" s="15"/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</row>
    <row r="683" ht="12.75" customHeight="1">
      <c r="A683" s="15"/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</row>
    <row r="684" ht="12.75" customHeight="1">
      <c r="A684" s="15"/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</row>
    <row r="685" ht="12.75" customHeight="1">
      <c r="A685" s="15"/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</row>
    <row r="686" ht="12.75" customHeight="1">
      <c r="A686" s="15"/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</row>
    <row r="687" ht="12.75" customHeight="1">
      <c r="A687" s="15"/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</row>
    <row r="688" ht="12.75" customHeight="1">
      <c r="A688" s="15"/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</row>
    <row r="689" ht="12.75" customHeight="1">
      <c r="A689" s="15"/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</row>
    <row r="690" ht="12.75" customHeight="1">
      <c r="A690" s="15"/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</row>
    <row r="691" ht="12.75" customHeight="1">
      <c r="A691" s="15"/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</row>
    <row r="692" ht="12.75" customHeight="1">
      <c r="A692" s="15"/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</row>
    <row r="693" ht="12.75" customHeight="1">
      <c r="A693" s="15"/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</row>
    <row r="694" ht="12.75" customHeight="1">
      <c r="A694" s="15"/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</row>
    <row r="695" ht="12.75" customHeight="1">
      <c r="A695" s="15"/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</row>
    <row r="696" ht="12.75" customHeight="1">
      <c r="A696" s="15"/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</row>
    <row r="697" ht="12.75" customHeight="1">
      <c r="A697" s="15"/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</row>
    <row r="698" ht="12.75" customHeight="1">
      <c r="A698" s="15"/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</row>
    <row r="699" ht="12.75" customHeight="1">
      <c r="A699" s="15"/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</row>
    <row r="700" ht="12.75" customHeight="1">
      <c r="A700" s="15"/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</row>
    <row r="701" ht="12.75" customHeight="1">
      <c r="A701" s="15"/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</row>
    <row r="702" ht="12.75" customHeight="1">
      <c r="A702" s="15"/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</row>
    <row r="703" ht="12.75" customHeight="1">
      <c r="A703" s="15"/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</row>
    <row r="704" ht="12.75" customHeight="1">
      <c r="A704" s="15"/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</row>
    <row r="705" ht="12.75" customHeight="1">
      <c r="A705" s="15"/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</row>
    <row r="706" ht="12.75" customHeight="1">
      <c r="A706" s="15"/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</row>
    <row r="707" ht="12.75" customHeight="1">
      <c r="A707" s="15"/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</row>
    <row r="708" ht="12.75" customHeight="1">
      <c r="A708" s="15"/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</row>
    <row r="709" ht="12.75" customHeight="1">
      <c r="A709" s="15"/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</row>
    <row r="710" ht="12.75" customHeight="1">
      <c r="A710" s="15"/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</row>
    <row r="711" ht="12.75" customHeight="1">
      <c r="A711" s="15"/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</row>
    <row r="712" ht="12.75" customHeight="1">
      <c r="A712" s="15"/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</row>
    <row r="713" ht="12.75" customHeight="1">
      <c r="A713" s="15"/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</row>
    <row r="714" ht="12.75" customHeight="1">
      <c r="A714" s="15"/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</row>
    <row r="715" ht="12.75" customHeight="1">
      <c r="A715" s="15"/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</row>
    <row r="716" ht="12.75" customHeight="1">
      <c r="A716" s="15"/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</row>
    <row r="717" ht="12.75" customHeight="1">
      <c r="A717" s="15"/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</row>
    <row r="718" ht="12.75" customHeight="1">
      <c r="A718" s="15"/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</row>
    <row r="719" ht="12.75" customHeight="1">
      <c r="A719" s="15"/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</row>
    <row r="720" ht="12.75" customHeight="1">
      <c r="A720" s="15"/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</row>
    <row r="721" ht="12.75" customHeight="1">
      <c r="A721" s="15"/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</row>
    <row r="722" ht="12.75" customHeight="1">
      <c r="A722" s="15"/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</row>
    <row r="723" ht="12.75" customHeight="1">
      <c r="A723" s="15"/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</row>
    <row r="724" ht="12.75" customHeight="1">
      <c r="A724" s="15"/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</row>
    <row r="725" ht="12.75" customHeight="1">
      <c r="A725" s="15"/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</row>
    <row r="726" ht="12.75" customHeight="1">
      <c r="A726" s="15"/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</row>
    <row r="727" ht="12.75" customHeight="1">
      <c r="A727" s="15"/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</row>
    <row r="728" ht="12.75" customHeight="1">
      <c r="A728" s="15"/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</row>
    <row r="729" ht="12.75" customHeight="1">
      <c r="A729" s="15"/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</row>
    <row r="730" ht="12.75" customHeight="1">
      <c r="A730" s="15"/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</row>
    <row r="731" ht="12.75" customHeight="1">
      <c r="A731" s="15"/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</row>
    <row r="732" ht="12.75" customHeight="1">
      <c r="A732" s="15"/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</row>
    <row r="733" ht="12.75" customHeight="1">
      <c r="A733" s="15"/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</row>
    <row r="734" ht="12.75" customHeight="1">
      <c r="A734" s="15"/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</row>
    <row r="735" ht="12.75" customHeight="1">
      <c r="A735" s="15"/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</row>
    <row r="736" ht="12.75" customHeight="1">
      <c r="A736" s="15"/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</row>
    <row r="737" ht="12.75" customHeight="1">
      <c r="A737" s="15"/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</row>
    <row r="738" ht="12.75" customHeight="1">
      <c r="A738" s="15"/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</row>
    <row r="739" ht="12.75" customHeight="1">
      <c r="A739" s="15"/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</row>
    <row r="740" ht="12.75" customHeight="1">
      <c r="A740" s="15"/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</row>
    <row r="741" ht="12.75" customHeight="1">
      <c r="A741" s="15"/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</row>
    <row r="742" ht="12.75" customHeight="1">
      <c r="A742" s="15"/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</row>
    <row r="743" ht="12.75" customHeight="1">
      <c r="A743" s="15"/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</row>
    <row r="744" ht="12.75" customHeight="1">
      <c r="A744" s="15"/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</row>
    <row r="745" ht="12.75" customHeight="1">
      <c r="A745" s="15"/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</row>
    <row r="746" ht="12.75" customHeight="1">
      <c r="A746" s="15"/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</row>
    <row r="747" ht="12.75" customHeight="1">
      <c r="A747" s="15"/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</row>
    <row r="748" ht="12.75" customHeight="1">
      <c r="A748" s="15"/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</row>
    <row r="749" ht="12.75" customHeight="1">
      <c r="A749" s="15"/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</row>
    <row r="750" ht="12.75" customHeight="1">
      <c r="A750" s="15"/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</row>
    <row r="751" ht="12.75" customHeight="1">
      <c r="A751" s="15"/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</row>
    <row r="752" ht="12.75" customHeight="1">
      <c r="A752" s="15"/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</row>
    <row r="753" ht="12.75" customHeight="1">
      <c r="A753" s="15"/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</row>
    <row r="754" ht="12.75" customHeight="1">
      <c r="A754" s="15"/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</row>
    <row r="755" ht="12.75" customHeight="1">
      <c r="A755" s="15"/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</row>
    <row r="756" ht="12.75" customHeight="1">
      <c r="A756" s="15"/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</row>
    <row r="757" ht="12.75" customHeight="1">
      <c r="A757" s="15"/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</row>
    <row r="758" ht="12.75" customHeight="1">
      <c r="A758" s="15"/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</row>
    <row r="759" ht="12.75" customHeight="1">
      <c r="A759" s="15"/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</row>
    <row r="760" ht="12.75" customHeight="1">
      <c r="A760" s="15"/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</row>
    <row r="761" ht="12.75" customHeight="1">
      <c r="A761" s="15"/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</row>
    <row r="762" ht="12.75" customHeight="1">
      <c r="A762" s="15"/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</row>
    <row r="763" ht="12.75" customHeight="1">
      <c r="A763" s="15"/>
      <c r="B763" s="16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</row>
    <row r="764" ht="12.75" customHeight="1">
      <c r="A764" s="15"/>
      <c r="B764" s="16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</row>
    <row r="765" ht="12.75" customHeight="1">
      <c r="A765" s="15"/>
      <c r="B765" s="16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</row>
    <row r="766" ht="12.75" customHeight="1">
      <c r="A766" s="15"/>
      <c r="B766" s="16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</row>
    <row r="767" ht="12.75" customHeight="1">
      <c r="A767" s="15"/>
      <c r="B767" s="16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</row>
    <row r="768" ht="12.75" customHeight="1">
      <c r="A768" s="15"/>
      <c r="B768" s="16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</row>
    <row r="769" ht="12.75" customHeight="1">
      <c r="A769" s="15"/>
      <c r="B769" s="16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</row>
    <row r="770" ht="12.75" customHeight="1">
      <c r="A770" s="15"/>
      <c r="B770" s="16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</row>
    <row r="771" ht="12.75" customHeight="1">
      <c r="A771" s="15"/>
      <c r="B771" s="16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</row>
    <row r="772" ht="12.75" customHeight="1">
      <c r="A772" s="15"/>
      <c r="B772" s="16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</row>
    <row r="773" ht="12.75" customHeight="1">
      <c r="A773" s="15"/>
      <c r="B773" s="1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</row>
    <row r="774" ht="12.75" customHeight="1">
      <c r="A774" s="15"/>
      <c r="B774" s="16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</row>
    <row r="775" ht="12.75" customHeight="1">
      <c r="A775" s="15"/>
      <c r="B775" s="16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</row>
    <row r="776" ht="12.75" customHeight="1">
      <c r="A776" s="15"/>
      <c r="B776" s="16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</row>
    <row r="777" ht="12.75" customHeight="1">
      <c r="A777" s="15"/>
      <c r="B777" s="16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</row>
    <row r="778" ht="12.75" customHeight="1">
      <c r="A778" s="15"/>
      <c r="B778" s="1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</row>
    <row r="779" ht="12.75" customHeight="1">
      <c r="A779" s="15"/>
      <c r="B779" s="1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</row>
    <row r="780" ht="12.75" customHeight="1">
      <c r="A780" s="15"/>
      <c r="B780" s="16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</row>
    <row r="781" ht="12.75" customHeight="1">
      <c r="A781" s="15"/>
      <c r="B781" s="16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</row>
    <row r="782" ht="12.75" customHeight="1">
      <c r="A782" s="15"/>
      <c r="B782" s="1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</row>
    <row r="783" ht="12.75" customHeight="1">
      <c r="A783" s="15"/>
      <c r="B783" s="16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</row>
    <row r="784" ht="12.75" customHeight="1">
      <c r="A784" s="15"/>
      <c r="B784" s="1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</row>
    <row r="785" ht="12.75" customHeight="1">
      <c r="A785" s="15"/>
      <c r="B785" s="16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</row>
    <row r="786" ht="12.75" customHeight="1">
      <c r="A786" s="15"/>
      <c r="B786" s="16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</row>
    <row r="787" ht="12.75" customHeight="1">
      <c r="A787" s="15"/>
      <c r="B787" s="16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</row>
    <row r="788" ht="12.75" customHeight="1">
      <c r="A788" s="15"/>
      <c r="B788" s="16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</row>
    <row r="789" ht="12.75" customHeight="1">
      <c r="A789" s="15"/>
      <c r="B789" s="16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</row>
    <row r="790" ht="12.75" customHeight="1">
      <c r="A790" s="15"/>
      <c r="B790" s="16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</row>
    <row r="791" ht="12.75" customHeight="1">
      <c r="A791" s="15"/>
      <c r="B791" s="16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</row>
    <row r="792" ht="12.75" customHeight="1">
      <c r="A792" s="15"/>
      <c r="B792" s="16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</row>
    <row r="793" ht="12.75" customHeight="1">
      <c r="A793" s="15"/>
      <c r="B793" s="16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</row>
    <row r="794" ht="12.75" customHeight="1">
      <c r="A794" s="15"/>
      <c r="B794" s="16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</row>
    <row r="795" ht="12.75" customHeight="1">
      <c r="A795" s="15"/>
      <c r="B795" s="16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</row>
    <row r="796" ht="12.75" customHeight="1">
      <c r="A796" s="15"/>
      <c r="B796" s="16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</row>
    <row r="797" ht="12.75" customHeight="1">
      <c r="A797" s="15"/>
      <c r="B797" s="16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</row>
    <row r="798" ht="12.75" customHeight="1">
      <c r="A798" s="15"/>
      <c r="B798" s="16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</row>
    <row r="799" ht="12.75" customHeight="1">
      <c r="A799" s="15"/>
      <c r="B799" s="16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</row>
    <row r="800" ht="12.75" customHeight="1">
      <c r="A800" s="15"/>
      <c r="B800" s="16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</row>
    <row r="801" ht="12.75" customHeight="1">
      <c r="A801" s="15"/>
      <c r="B801" s="16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</row>
    <row r="802" ht="12.75" customHeight="1">
      <c r="A802" s="15"/>
      <c r="B802" s="16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</row>
    <row r="803" ht="12.75" customHeight="1">
      <c r="A803" s="15"/>
      <c r="B803" s="1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</row>
    <row r="804" ht="12.75" customHeight="1">
      <c r="A804" s="15"/>
      <c r="B804" s="16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</row>
    <row r="805" ht="12.75" customHeight="1">
      <c r="A805" s="15"/>
      <c r="B805" s="16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</row>
    <row r="806" ht="12.75" customHeight="1">
      <c r="A806" s="15"/>
      <c r="B806" s="16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</row>
    <row r="807" ht="12.75" customHeight="1">
      <c r="A807" s="15"/>
      <c r="B807" s="16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</row>
    <row r="808" ht="12.75" customHeight="1">
      <c r="A808" s="15"/>
      <c r="B808" s="1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</row>
    <row r="809" ht="12.75" customHeight="1">
      <c r="A809" s="15"/>
      <c r="B809" s="1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</row>
    <row r="810" ht="12.75" customHeight="1">
      <c r="A810" s="15"/>
      <c r="B810" s="16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</row>
    <row r="811" ht="12.75" customHeight="1">
      <c r="A811" s="15"/>
      <c r="B811" s="16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</row>
    <row r="812" ht="12.75" customHeight="1">
      <c r="A812" s="15"/>
      <c r="B812" s="1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</row>
    <row r="813" ht="12.75" customHeight="1">
      <c r="A813" s="15"/>
      <c r="B813" s="16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</row>
    <row r="814" ht="12.75" customHeight="1">
      <c r="A814" s="15"/>
      <c r="B814" s="1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</row>
    <row r="815" ht="12.75" customHeight="1">
      <c r="A815" s="15"/>
      <c r="B815" s="16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</row>
    <row r="816" ht="12.75" customHeight="1">
      <c r="A816" s="15"/>
      <c r="B816" s="16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</row>
    <row r="817" ht="12.75" customHeight="1">
      <c r="A817" s="15"/>
      <c r="B817" s="16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</row>
    <row r="818" ht="12.75" customHeight="1">
      <c r="A818" s="15"/>
      <c r="B818" s="16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</row>
    <row r="819" ht="12.75" customHeight="1">
      <c r="A819" s="15"/>
      <c r="B819" s="16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</row>
    <row r="820" ht="12.75" customHeight="1">
      <c r="A820" s="15"/>
      <c r="B820" s="16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</row>
    <row r="821" ht="12.75" customHeight="1">
      <c r="A821" s="15"/>
      <c r="B821" s="16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</row>
    <row r="822" ht="12.75" customHeight="1">
      <c r="A822" s="15"/>
      <c r="B822" s="16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</row>
    <row r="823" ht="12.75" customHeight="1">
      <c r="A823" s="15"/>
      <c r="B823" s="16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</row>
    <row r="824" ht="12.75" customHeight="1">
      <c r="A824" s="15"/>
      <c r="B824" s="16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</row>
    <row r="825" ht="12.75" customHeight="1">
      <c r="A825" s="15"/>
      <c r="B825" s="16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</row>
    <row r="826" ht="12.75" customHeight="1">
      <c r="A826" s="15"/>
      <c r="B826" s="16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</row>
    <row r="827" ht="12.75" customHeight="1">
      <c r="A827" s="15"/>
      <c r="B827" s="16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</row>
    <row r="828" ht="12.75" customHeight="1">
      <c r="A828" s="15"/>
      <c r="B828" s="16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</row>
    <row r="829" ht="12.75" customHeight="1">
      <c r="A829" s="15"/>
      <c r="B829" s="16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</row>
    <row r="830" ht="12.75" customHeight="1">
      <c r="A830" s="15"/>
      <c r="B830" s="16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</row>
    <row r="831" ht="12.75" customHeight="1">
      <c r="A831" s="15"/>
      <c r="B831" s="16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</row>
    <row r="832" ht="12.75" customHeight="1">
      <c r="A832" s="15"/>
      <c r="B832" s="16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</row>
    <row r="833" ht="12.75" customHeight="1">
      <c r="A833" s="15"/>
      <c r="B833" s="1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</row>
    <row r="834" ht="12.75" customHeight="1">
      <c r="A834" s="15"/>
      <c r="B834" s="16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</row>
    <row r="835" ht="12.75" customHeight="1">
      <c r="A835" s="15"/>
      <c r="B835" s="16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</row>
    <row r="836" ht="12.75" customHeight="1">
      <c r="A836" s="15"/>
      <c r="B836" s="16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</row>
    <row r="837" ht="12.75" customHeight="1">
      <c r="A837" s="15"/>
      <c r="B837" s="16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</row>
    <row r="838" ht="12.75" customHeight="1">
      <c r="A838" s="15"/>
      <c r="B838" s="1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</row>
    <row r="839" ht="12.75" customHeight="1">
      <c r="A839" s="15"/>
      <c r="B839" s="1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</row>
    <row r="840" ht="12.75" customHeight="1">
      <c r="A840" s="15"/>
      <c r="B840" s="16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</row>
    <row r="841" ht="12.75" customHeight="1">
      <c r="A841" s="15"/>
      <c r="B841" s="16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</row>
    <row r="842" ht="12.75" customHeight="1">
      <c r="A842" s="15"/>
      <c r="B842" s="1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</row>
    <row r="843" ht="12.75" customHeight="1">
      <c r="A843" s="15"/>
      <c r="B843" s="16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</row>
    <row r="844" ht="12.75" customHeight="1">
      <c r="A844" s="15"/>
      <c r="B844" s="1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</row>
    <row r="845" ht="12.75" customHeight="1">
      <c r="A845" s="15"/>
      <c r="B845" s="16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</row>
    <row r="846" ht="12.75" customHeight="1">
      <c r="A846" s="15"/>
      <c r="B846" s="16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</row>
    <row r="847" ht="12.75" customHeight="1">
      <c r="A847" s="15"/>
      <c r="B847" s="16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</row>
    <row r="848" ht="12.75" customHeight="1">
      <c r="A848" s="15"/>
      <c r="B848" s="16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</row>
    <row r="849" ht="12.75" customHeight="1">
      <c r="A849" s="15"/>
      <c r="B849" s="16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</row>
    <row r="850" ht="12.75" customHeight="1">
      <c r="A850" s="15"/>
      <c r="B850" s="16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</row>
    <row r="851" ht="12.75" customHeight="1">
      <c r="A851" s="15"/>
      <c r="B851" s="16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</row>
    <row r="852" ht="12.75" customHeight="1">
      <c r="A852" s="15"/>
      <c r="B852" s="16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</row>
    <row r="853" ht="12.75" customHeight="1">
      <c r="A853" s="15"/>
      <c r="B853" s="16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</row>
    <row r="854" ht="12.75" customHeight="1">
      <c r="A854" s="15"/>
      <c r="B854" s="16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</row>
    <row r="855" ht="12.75" customHeight="1">
      <c r="A855" s="15"/>
      <c r="B855" s="16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</row>
    <row r="856" ht="12.75" customHeight="1">
      <c r="A856" s="15"/>
      <c r="B856" s="16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</row>
    <row r="857" ht="12.75" customHeight="1">
      <c r="A857" s="15"/>
      <c r="B857" s="16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</row>
    <row r="858" ht="12.75" customHeight="1">
      <c r="A858" s="15"/>
      <c r="B858" s="16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</row>
    <row r="859" ht="12.75" customHeight="1">
      <c r="A859" s="15"/>
      <c r="B859" s="16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</row>
    <row r="860" ht="12.75" customHeight="1">
      <c r="A860" s="15"/>
      <c r="B860" s="16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</row>
    <row r="861" ht="12.75" customHeight="1">
      <c r="A861" s="15"/>
      <c r="B861" s="16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</row>
    <row r="862" ht="12.75" customHeight="1">
      <c r="A862" s="15"/>
      <c r="B862" s="16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</row>
    <row r="863" ht="12.75" customHeight="1">
      <c r="A863" s="15"/>
      <c r="B863" s="1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</row>
    <row r="864" ht="12.75" customHeight="1">
      <c r="A864" s="15"/>
      <c r="B864" s="16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</row>
    <row r="865" ht="12.75" customHeight="1">
      <c r="A865" s="15"/>
      <c r="B865" s="16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</row>
    <row r="866" ht="12.75" customHeight="1">
      <c r="A866" s="15"/>
      <c r="B866" s="16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</row>
    <row r="867" ht="12.75" customHeight="1">
      <c r="A867" s="15"/>
      <c r="B867" s="16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</row>
    <row r="868" ht="12.75" customHeight="1">
      <c r="A868" s="15"/>
      <c r="B868" s="1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</row>
    <row r="869" ht="12.75" customHeight="1">
      <c r="A869" s="15"/>
      <c r="B869" s="1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</row>
    <row r="870" ht="12.75" customHeight="1">
      <c r="A870" s="15"/>
      <c r="B870" s="16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</row>
    <row r="871" ht="12.75" customHeight="1">
      <c r="A871" s="15"/>
      <c r="B871" s="16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</row>
    <row r="872" ht="12.75" customHeight="1">
      <c r="A872" s="15"/>
      <c r="B872" s="1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</row>
    <row r="873" ht="12.75" customHeight="1">
      <c r="A873" s="15"/>
      <c r="B873" s="16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</row>
    <row r="874" ht="12.75" customHeight="1">
      <c r="A874" s="15"/>
      <c r="B874" s="1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</row>
    <row r="875" ht="12.75" customHeight="1">
      <c r="A875" s="15"/>
      <c r="B875" s="16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</row>
    <row r="876" ht="12.75" customHeight="1">
      <c r="A876" s="15"/>
      <c r="B876" s="16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</row>
    <row r="877" ht="12.75" customHeight="1">
      <c r="A877" s="15"/>
      <c r="B877" s="16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</row>
    <row r="878" ht="12.75" customHeight="1">
      <c r="A878" s="15"/>
      <c r="B878" s="16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</row>
    <row r="879" ht="12.75" customHeight="1">
      <c r="A879" s="15"/>
      <c r="B879" s="16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</row>
    <row r="880" ht="12.75" customHeight="1">
      <c r="A880" s="15"/>
      <c r="B880" s="16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</row>
    <row r="881" ht="12.75" customHeight="1">
      <c r="A881" s="15"/>
      <c r="B881" s="16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</row>
    <row r="882" ht="12.75" customHeight="1">
      <c r="A882" s="15"/>
      <c r="B882" s="16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</row>
    <row r="883" ht="12.75" customHeight="1">
      <c r="A883" s="15"/>
      <c r="B883" s="16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</row>
    <row r="884" ht="12.75" customHeight="1">
      <c r="A884" s="15"/>
      <c r="B884" s="16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</row>
    <row r="885" ht="12.75" customHeight="1">
      <c r="A885" s="15"/>
      <c r="B885" s="16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</row>
    <row r="886" ht="12.75" customHeight="1">
      <c r="A886" s="15"/>
      <c r="B886" s="16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</row>
    <row r="887" ht="12.75" customHeight="1">
      <c r="A887" s="15"/>
      <c r="B887" s="16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</row>
    <row r="888" ht="12.75" customHeight="1">
      <c r="A888" s="15"/>
      <c r="B888" s="16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</row>
    <row r="889" ht="12.75" customHeight="1">
      <c r="A889" s="15"/>
      <c r="B889" s="16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</row>
    <row r="890" ht="12.75" customHeight="1">
      <c r="A890" s="15"/>
      <c r="B890" s="16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</row>
    <row r="891" ht="12.75" customHeight="1">
      <c r="A891" s="15"/>
      <c r="B891" s="16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</row>
    <row r="892" ht="12.75" customHeight="1">
      <c r="A892" s="15"/>
      <c r="B892" s="16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</row>
    <row r="893" ht="12.75" customHeight="1">
      <c r="A893" s="15"/>
      <c r="B893" s="1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</row>
    <row r="894" ht="12.75" customHeight="1">
      <c r="A894" s="15"/>
      <c r="B894" s="16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</row>
    <row r="895" ht="12.75" customHeight="1">
      <c r="A895" s="15"/>
      <c r="B895" s="16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</row>
    <row r="896" ht="12.75" customHeight="1">
      <c r="A896" s="15"/>
      <c r="B896" s="16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</row>
    <row r="897" ht="12.75" customHeight="1">
      <c r="A897" s="15"/>
      <c r="B897" s="16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</row>
    <row r="898" ht="12.75" customHeight="1">
      <c r="A898" s="15"/>
      <c r="B898" s="1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</row>
    <row r="899" ht="12.75" customHeight="1">
      <c r="A899" s="15"/>
      <c r="B899" s="1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</row>
    <row r="900" ht="12.75" customHeight="1">
      <c r="A900" s="15"/>
      <c r="B900" s="16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</row>
    <row r="901" ht="12.75" customHeight="1">
      <c r="A901" s="15"/>
      <c r="B901" s="16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</row>
    <row r="902" ht="12.75" customHeight="1">
      <c r="A902" s="15"/>
      <c r="B902" s="1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</row>
    <row r="903" ht="12.75" customHeight="1">
      <c r="A903" s="15"/>
      <c r="B903" s="16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</row>
    <row r="904" ht="12.75" customHeight="1">
      <c r="A904" s="15"/>
      <c r="B904" s="1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</row>
    <row r="905" ht="12.75" customHeight="1">
      <c r="A905" s="15"/>
      <c r="B905" s="16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</row>
    <row r="906" ht="12.75" customHeight="1">
      <c r="A906" s="15"/>
      <c r="B906" s="16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</row>
    <row r="907" ht="12.75" customHeight="1">
      <c r="A907" s="15"/>
      <c r="B907" s="16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</row>
    <row r="908" ht="12.75" customHeight="1">
      <c r="A908" s="15"/>
      <c r="B908" s="16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</row>
    <row r="909" ht="12.75" customHeight="1">
      <c r="A909" s="15"/>
      <c r="B909" s="16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</row>
    <row r="910" ht="12.75" customHeight="1">
      <c r="A910" s="15"/>
      <c r="B910" s="16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</row>
    <row r="911" ht="12.75" customHeight="1">
      <c r="A911" s="15"/>
      <c r="B911" s="16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</row>
    <row r="912" ht="12.75" customHeight="1">
      <c r="A912" s="15"/>
      <c r="B912" s="16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</row>
    <row r="913" ht="12.75" customHeight="1">
      <c r="A913" s="15"/>
      <c r="B913" s="16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</row>
    <row r="914" ht="12.75" customHeight="1">
      <c r="A914" s="15"/>
      <c r="B914" s="16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</row>
    <row r="915" ht="12.75" customHeight="1">
      <c r="A915" s="15"/>
      <c r="B915" s="16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</row>
    <row r="916" ht="12.75" customHeight="1">
      <c r="A916" s="15"/>
      <c r="B916" s="16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</row>
    <row r="917" ht="12.75" customHeight="1">
      <c r="A917" s="15"/>
      <c r="B917" s="16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</row>
    <row r="918" ht="12.75" customHeight="1">
      <c r="A918" s="15"/>
      <c r="B918" s="16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</row>
    <row r="919" ht="12.75" customHeight="1">
      <c r="A919" s="15"/>
      <c r="B919" s="16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</row>
    <row r="920" ht="12.75" customHeight="1">
      <c r="A920" s="15"/>
      <c r="B920" s="16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</row>
    <row r="921" ht="12.75" customHeight="1">
      <c r="A921" s="15"/>
      <c r="B921" s="16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</row>
    <row r="922" ht="12.75" customHeight="1">
      <c r="A922" s="15"/>
      <c r="B922" s="16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</row>
    <row r="923" ht="12.75" customHeight="1">
      <c r="A923" s="15"/>
      <c r="B923" s="16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</row>
    <row r="924" ht="12.75" customHeight="1">
      <c r="A924" s="15"/>
      <c r="B924" s="16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</row>
    <row r="925" ht="12.75" customHeight="1">
      <c r="A925" s="15"/>
      <c r="B925" s="16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</row>
    <row r="926" ht="12.75" customHeight="1">
      <c r="A926" s="15"/>
      <c r="B926" s="16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</row>
    <row r="927" ht="12.75" customHeight="1">
      <c r="A927" s="15"/>
      <c r="B927" s="16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</row>
    <row r="928" ht="12.75" customHeight="1">
      <c r="A928" s="15"/>
      <c r="B928" s="16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</row>
    <row r="929" ht="12.75" customHeight="1">
      <c r="A929" s="15"/>
      <c r="B929" s="16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</row>
    <row r="930" ht="12.75" customHeight="1">
      <c r="A930" s="15"/>
      <c r="B930" s="16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</row>
    <row r="931" ht="12.75" customHeight="1">
      <c r="A931" s="15"/>
      <c r="B931" s="16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</row>
    <row r="932" ht="12.75" customHeight="1">
      <c r="A932" s="15"/>
      <c r="B932" s="16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</row>
    <row r="933" ht="12.75" customHeight="1">
      <c r="A933" s="15"/>
      <c r="B933" s="16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</row>
    <row r="934" ht="12.75" customHeight="1">
      <c r="A934" s="15"/>
      <c r="B934" s="16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</row>
    <row r="935" ht="12.75" customHeight="1">
      <c r="A935" s="15"/>
      <c r="B935" s="16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</row>
    <row r="936" ht="12.75" customHeight="1">
      <c r="A936" s="15"/>
      <c r="B936" s="16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</row>
    <row r="937" ht="12.75" customHeight="1">
      <c r="A937" s="15"/>
      <c r="B937" s="16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</row>
    <row r="938" ht="12.75" customHeight="1">
      <c r="A938" s="15"/>
      <c r="B938" s="16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</row>
    <row r="939" ht="12.75" customHeight="1">
      <c r="A939" s="15"/>
      <c r="B939" s="16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</row>
    <row r="940" ht="12.75" customHeight="1">
      <c r="A940" s="15"/>
      <c r="B940" s="16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</row>
    <row r="941" ht="12.75" customHeight="1">
      <c r="A941" s="15"/>
      <c r="B941" s="16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</row>
    <row r="942" ht="12.75" customHeight="1">
      <c r="A942" s="15"/>
      <c r="B942" s="16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</row>
    <row r="943" ht="12.75" customHeight="1">
      <c r="A943" s="15"/>
      <c r="B943" s="16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</row>
    <row r="944" ht="12.75" customHeight="1">
      <c r="A944" s="15"/>
      <c r="B944" s="16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</row>
    <row r="945" ht="12.75" customHeight="1">
      <c r="A945" s="15"/>
      <c r="B945" s="16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</row>
    <row r="946" ht="12.75" customHeight="1">
      <c r="A946" s="15"/>
      <c r="B946" s="16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</row>
    <row r="947" ht="12.75" customHeight="1">
      <c r="A947" s="15"/>
      <c r="B947" s="16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</row>
    <row r="948" ht="12.75" customHeight="1">
      <c r="A948" s="15"/>
      <c r="B948" s="16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</row>
    <row r="949" ht="12.75" customHeight="1">
      <c r="A949" s="15"/>
      <c r="B949" s="16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</row>
    <row r="950" ht="12.75" customHeight="1">
      <c r="A950" s="15"/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</row>
    <row r="951" ht="12.75" customHeight="1">
      <c r="A951" s="15"/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</row>
    <row r="952" ht="12.75" customHeight="1">
      <c r="A952" s="15"/>
      <c r="B952" s="16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</row>
    <row r="953" ht="12.75" customHeight="1">
      <c r="A953" s="15"/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</row>
    <row r="954" ht="12.75" customHeight="1">
      <c r="A954" s="15"/>
      <c r="B954" s="16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</row>
    <row r="955" ht="12.75" customHeight="1">
      <c r="A955" s="15"/>
      <c r="B955" s="16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</row>
    <row r="956" ht="12.75" customHeight="1">
      <c r="A956" s="15"/>
      <c r="B956" s="16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</row>
    <row r="957" ht="12.75" customHeight="1">
      <c r="A957" s="15"/>
      <c r="B957" s="16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</row>
    <row r="958" ht="12.75" customHeight="1">
      <c r="A958" s="15"/>
      <c r="B958" s="16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</row>
    <row r="959" ht="12.75" customHeight="1">
      <c r="A959" s="15"/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</row>
    <row r="960" ht="12.75" customHeight="1">
      <c r="A960" s="15"/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</row>
    <row r="961" ht="12.75" customHeight="1">
      <c r="A961" s="15"/>
      <c r="B961" s="16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</row>
    <row r="962" ht="12.75" customHeight="1">
      <c r="A962" s="15"/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</row>
    <row r="963" ht="12.75" customHeight="1">
      <c r="A963" s="15"/>
      <c r="B963" s="16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</row>
    <row r="964" ht="12.75" customHeight="1">
      <c r="A964" s="15"/>
      <c r="B964" s="16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</row>
    <row r="965" ht="12.75" customHeight="1">
      <c r="A965" s="15"/>
      <c r="B965" s="16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</row>
    <row r="966" ht="12.75" customHeight="1">
      <c r="A966" s="15"/>
      <c r="B966" s="16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</row>
    <row r="967" ht="12.75" customHeight="1">
      <c r="A967" s="15"/>
      <c r="B967" s="16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</row>
    <row r="968" ht="12.75" customHeight="1">
      <c r="A968" s="15"/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</row>
    <row r="969" ht="12.75" customHeight="1">
      <c r="A969" s="15"/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</row>
    <row r="970" ht="12.75" customHeight="1">
      <c r="A970" s="15"/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</row>
    <row r="971" ht="12.75" customHeight="1">
      <c r="A971" s="15"/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</row>
    <row r="972" ht="12.75" customHeight="1">
      <c r="A972" s="15"/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</row>
    <row r="973" ht="12.75" customHeight="1">
      <c r="A973" s="15"/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</row>
    <row r="974" ht="12.75" customHeight="1">
      <c r="A974" s="15"/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</row>
    <row r="975" ht="12.75" customHeight="1">
      <c r="A975" s="15"/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</row>
    <row r="976" ht="12.75" customHeight="1">
      <c r="A976" s="15"/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</row>
    <row r="977" ht="12.75" customHeight="1">
      <c r="A977" s="15"/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</row>
    <row r="978" ht="12.75" customHeight="1">
      <c r="A978" s="15"/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</row>
    <row r="979" ht="12.75" customHeight="1">
      <c r="A979" s="15"/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</row>
    <row r="980" ht="12.75" customHeight="1">
      <c r="A980" s="15"/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</row>
    <row r="981" ht="12.75" customHeight="1">
      <c r="A981" s="15"/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</row>
    <row r="982" ht="12.75" customHeight="1">
      <c r="A982" s="15"/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</row>
    <row r="983" ht="12.75" customHeight="1">
      <c r="A983" s="15"/>
      <c r="B983" s="16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</row>
    <row r="984" ht="12.75" customHeight="1">
      <c r="A984" s="15"/>
      <c r="B984" s="16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</row>
    <row r="985" ht="12.75" customHeight="1">
      <c r="A985" s="15"/>
      <c r="B985" s="16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</row>
    <row r="986" ht="12.75" customHeight="1">
      <c r="A986" s="15"/>
      <c r="B986" s="16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</row>
    <row r="987" ht="12.75" customHeight="1">
      <c r="A987" s="15"/>
      <c r="B987" s="16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</row>
    <row r="988" ht="12.75" customHeight="1">
      <c r="A988" s="15"/>
      <c r="B988" s="16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</row>
    <row r="989" ht="12.75" customHeight="1">
      <c r="A989" s="15"/>
      <c r="B989" s="16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</row>
    <row r="990" ht="12.75" customHeight="1">
      <c r="A990" s="15"/>
      <c r="B990" s="16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</row>
    <row r="991" ht="12.75" customHeight="1">
      <c r="A991" s="15"/>
      <c r="B991" s="16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</row>
    <row r="992" ht="12.75" customHeight="1">
      <c r="A992" s="15"/>
      <c r="B992" s="16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</row>
    <row r="993" ht="12.75" customHeight="1">
      <c r="A993" s="15"/>
      <c r="B993" s="16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</row>
    <row r="994" ht="12.75" customHeight="1">
      <c r="A994" s="15"/>
      <c r="B994" s="16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</row>
    <row r="995" ht="12.75" customHeight="1">
      <c r="B995" s="16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</row>
    <row r="996" ht="12.75" customHeight="1">
      <c r="B996" s="16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</row>
    <row r="997" ht="12.75" customHeight="1">
      <c r="B997" s="16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</row>
    <row r="998" ht="12.75" customHeight="1">
      <c r="B998" s="16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</row>
    <row r="999" ht="12.75" customHeight="1">
      <c r="B999" s="16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</row>
    <row r="1000" ht="12.75" customHeight="1">
      <c r="B1000" s="16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</row>
    <row r="1001" ht="12.75" customHeight="1">
      <c r="B1001" s="16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</row>
    <row r="1002" ht="12.75" customHeight="1">
      <c r="B1002" s="16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</row>
    <row r="1003" ht="12.75" customHeight="1">
      <c r="B1003" s="16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</row>
    <row r="1004" ht="12.75" customHeight="1">
      <c r="B1004" s="16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</row>
    <row r="1005" ht="12.75" customHeight="1">
      <c r="B1005" s="16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</row>
    <row r="1006" ht="12.75" customHeight="1">
      <c r="B1006" s="16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</row>
    <row r="1007" ht="12.75" customHeight="1">
      <c r="B1007" s="16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</row>
    <row r="1008" ht="12.75" customHeight="1">
      <c r="B1008" s="16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</row>
    <row r="1009" ht="12.75" customHeight="1">
      <c r="B1009" s="16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</row>
    <row r="1010" ht="12.75" customHeight="1">
      <c r="B1010" s="16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</row>
  </sheetData>
  <conditionalFormatting sqref="X5:AN159">
    <cfRule type="cellIs" dxfId="3" priority="1" operator="equal">
      <formula>1</formula>
    </cfRule>
  </conditionalFormatting>
  <conditionalFormatting sqref="AO5:AR159">
    <cfRule type="cellIs" dxfId="3" priority="2" operator="equal">
      <formula>1</formula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/>
  <cols>
    <col customWidth="1" min="1" max="1" width="6.13"/>
    <col customWidth="1" min="2" max="2" width="14.88"/>
    <col customWidth="1" min="3" max="3" width="16.75"/>
    <col customWidth="1" min="4" max="4" width="3.63"/>
    <col customWidth="1" min="5" max="5" width="17.25"/>
    <col customWidth="1" min="6" max="6" width="9.63" outlineLevel="1"/>
    <col customWidth="1" min="7" max="7" width="9.0" outlineLevel="1"/>
    <col customWidth="1" min="8" max="8" width="16.75"/>
    <col customWidth="1" min="9" max="9" width="3.63"/>
    <col customWidth="1" min="10" max="10" width="17.25"/>
    <col customWidth="1" min="11" max="12" width="9.0" outlineLevel="1"/>
    <col customWidth="1" min="13" max="13" width="16.75"/>
    <col customWidth="1" min="14" max="14" width="3.63"/>
    <col customWidth="1" min="15" max="15" width="17.25"/>
    <col customWidth="1" min="16" max="17" width="9.0" outlineLevel="1"/>
    <col customWidth="1" min="18" max="18" width="13.5"/>
    <col customWidth="1" min="19" max="19" width="3.63"/>
    <col customWidth="1" min="20" max="20" width="13.25"/>
    <col customWidth="1" min="21" max="22" width="9.0" outlineLevel="1"/>
    <col customWidth="1" min="23" max="23" width="14.75"/>
    <col customWidth="1" min="24" max="24" width="3.63"/>
    <col customWidth="1" min="25" max="25" width="15.25"/>
    <col customWidth="1" min="26" max="27" width="9.0" outlineLevel="1"/>
    <col customWidth="1" min="28" max="28" width="16.75"/>
    <col customWidth="1" min="29" max="29" width="3.63"/>
    <col customWidth="1" min="30" max="30" width="17.25"/>
    <col customWidth="1" min="31" max="31" width="9.0" outlineLevel="1"/>
    <col customWidth="1" min="32" max="32" width="9.38" outlineLevel="1"/>
    <col customWidth="1" min="33" max="33" width="16.75"/>
    <col customWidth="1" min="34" max="34" width="3.63"/>
    <col customWidth="1" min="35" max="35" width="17.25"/>
    <col customWidth="1" min="36" max="37" width="9.0" outlineLevel="1"/>
    <col customWidth="1" min="38" max="38" width="13.5"/>
    <col customWidth="1" min="39" max="39" width="3.63"/>
    <col customWidth="1" min="40" max="40" width="13.88"/>
    <col customWidth="1" min="41" max="42" width="9.0" outlineLevel="1"/>
    <col customWidth="1" min="43" max="44" width="8.0"/>
  </cols>
  <sheetData>
    <row r="1" ht="14.25" customHeight="1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41"/>
    </row>
    <row r="2" ht="14.25" customHeight="1">
      <c r="A2" s="41"/>
      <c r="B2" s="1"/>
      <c r="C2" s="42" t="s">
        <v>87</v>
      </c>
      <c r="D2" s="43"/>
      <c r="E2" s="44"/>
      <c r="F2" s="1" t="s">
        <v>88</v>
      </c>
      <c r="G2" s="1" t="s">
        <v>89</v>
      </c>
      <c r="H2" s="42" t="s">
        <v>90</v>
      </c>
      <c r="I2" s="43"/>
      <c r="J2" s="44"/>
      <c r="K2" s="1" t="s">
        <v>88</v>
      </c>
      <c r="L2" s="1" t="s">
        <v>89</v>
      </c>
      <c r="M2" s="42" t="s">
        <v>91</v>
      </c>
      <c r="N2" s="43"/>
      <c r="O2" s="44"/>
      <c r="P2" s="1" t="s">
        <v>88</v>
      </c>
      <c r="Q2" s="1" t="s">
        <v>89</v>
      </c>
      <c r="R2" s="42" t="s">
        <v>92</v>
      </c>
      <c r="S2" s="43"/>
      <c r="T2" s="44"/>
      <c r="U2" s="1" t="s">
        <v>88</v>
      </c>
      <c r="V2" s="1" t="s">
        <v>89</v>
      </c>
      <c r="W2" s="42" t="s">
        <v>93</v>
      </c>
      <c r="X2" s="43"/>
      <c r="Y2" s="44"/>
      <c r="Z2" s="1" t="s">
        <v>88</v>
      </c>
      <c r="AA2" s="1" t="s">
        <v>89</v>
      </c>
      <c r="AB2" s="42" t="s">
        <v>94</v>
      </c>
      <c r="AC2" s="43"/>
      <c r="AD2" s="44"/>
      <c r="AE2" s="1" t="s">
        <v>88</v>
      </c>
      <c r="AF2" s="1" t="s">
        <v>89</v>
      </c>
      <c r="AG2" s="42" t="s">
        <v>95</v>
      </c>
      <c r="AH2" s="43"/>
      <c r="AI2" s="44"/>
      <c r="AJ2" s="1" t="s">
        <v>88</v>
      </c>
      <c r="AK2" s="1" t="s">
        <v>89</v>
      </c>
      <c r="AL2" s="42" t="s">
        <v>96</v>
      </c>
      <c r="AM2" s="43"/>
      <c r="AN2" s="44"/>
      <c r="AO2" s="1" t="s">
        <v>88</v>
      </c>
      <c r="AP2" s="1" t="s">
        <v>89</v>
      </c>
      <c r="AQ2" s="41"/>
      <c r="AR2" s="1" t="s">
        <v>97</v>
      </c>
    </row>
    <row r="3" ht="14.25" customHeight="1">
      <c r="A3" s="40"/>
      <c r="B3" s="45" t="s">
        <v>9</v>
      </c>
      <c r="C3" s="46">
        <f>VLOOKUP($B3,Form_Playoff1aFase!$C$1:$AQ$44,2,FALSE)</f>
        <v>1</v>
      </c>
      <c r="D3" s="9" t="s">
        <v>98</v>
      </c>
      <c r="E3" s="46">
        <f>VLOOKUP($B3,Form_Playoff1aFase!$C$1:$AQ$44,3,FALSE)</f>
        <v>1</v>
      </c>
      <c r="F3" s="47" t="str">
        <f t="shared" ref="F3:F23" si="1">IF(C3&gt;E3,"casa",IF(C3=E3,"empate","visita"))</f>
        <v>empate</v>
      </c>
      <c r="G3" s="48">
        <f>IF(C3=PLAYOFF_1aFASE!C$24,IF(PLAYOFF_1aFASE!E$24=E3,Pesos!$M$6,IF(F3=PLAYOFF_1aFASE!F$24,Pesos!$M$3,0)),IF(F3=PLAYOFF_1aFASE!F$24,Pesos!$M$3,0))*IF(COUNTIF(F$3:F$23,F3)=1,2,1)</f>
        <v>0</v>
      </c>
      <c r="H3" s="49">
        <f>VLOOKUP($B3,Form_Playoff1aFase!$C$1:$AQ$44,7,FALSE)</f>
        <v>2</v>
      </c>
      <c r="I3" s="50" t="s">
        <v>98</v>
      </c>
      <c r="J3" s="49">
        <f>VLOOKUP($B3,Form_Playoff1aFase!$C$1:$AQ$44,8,FALSE)</f>
        <v>1</v>
      </c>
      <c r="K3" s="47" t="str">
        <f t="shared" ref="K3:K23" si="2">IF(H3&gt;J3,"casa",IF(H3=J3,"empate","visita"))</f>
        <v>casa</v>
      </c>
      <c r="L3" s="48">
        <f>IF(H3=PLAYOFF_1aFASE!H$24,IF(PLAYOFF_1aFASE!J$24=J3,Pesos!$M$6,IF(K3=PLAYOFF_1aFASE!K$24,Pesos!$M$3,0)),IF(K3=PLAYOFF_1aFASE!K$24,Pesos!$M$3,0))*IF(COUNTIF(K$3:K$23,K3)=1,2,1)</f>
        <v>0.5</v>
      </c>
      <c r="M3" s="49">
        <f>VLOOKUP($B3,Form_Playoff1aFase!$C$1:$AQ$44,12,FALSE)</f>
        <v>1</v>
      </c>
      <c r="N3" s="50" t="s">
        <v>98</v>
      </c>
      <c r="O3" s="49">
        <f>VLOOKUP($B3,Form_Playoff1aFase!$C$1:$AQ$44,13,FALSE)</f>
        <v>0</v>
      </c>
      <c r="P3" s="47" t="str">
        <f t="shared" ref="P3:P23" si="3">IF(M3&gt;O3,"casa",IF(M3=O3,"empate","visita"))</f>
        <v>casa</v>
      </c>
      <c r="Q3" s="48">
        <f>IF(M3=PLAYOFF_1aFASE!M$24,IF(PLAYOFF_1aFASE!O$24=O3,Pesos!$M$6,IF(P3=PLAYOFF_1aFASE!P$24,Pesos!$M$3,0)),IF(P3=PLAYOFF_1aFASE!P$24,Pesos!$M$3,0))*IF(COUNTIF(P$3:P$23,P3)=1,2,1)</f>
        <v>0</v>
      </c>
      <c r="R3" s="49">
        <f>VLOOKUP($B3,Form_Playoff1aFase!$C$1:$AQ$44,17,FALSE)</f>
        <v>3</v>
      </c>
      <c r="S3" s="50" t="s">
        <v>98</v>
      </c>
      <c r="T3" s="49">
        <f>VLOOKUP($B3,Form_Playoff1aFase!$C$1:$AQ$44,18,FALSE)</f>
        <v>1</v>
      </c>
      <c r="U3" s="47" t="str">
        <f t="shared" ref="U3:U23" si="4">IF(R3&gt;T3,"casa",IF(R3=T3,"empate","visita"))</f>
        <v>casa</v>
      </c>
      <c r="V3" s="48">
        <f>IF(R3=PLAYOFF_1aFASE!R$24,IF(PLAYOFF_1aFASE!T$24=T3,Pesos!$M$6,IF(U3=PLAYOFF_1aFASE!U$24,Pesos!$M$3,0)),IF(U3=PLAYOFF_1aFASE!U$24,Pesos!$M$3,0))*IF(COUNTIF(U$3:U$23,U3)=1,2,1)</f>
        <v>0.5</v>
      </c>
      <c r="W3" s="49">
        <f>VLOOKUP($B3,Form_Playoff1aFase!$C$1:$AQ$44,22,FALSE)</f>
        <v>1</v>
      </c>
      <c r="X3" s="50" t="s">
        <v>98</v>
      </c>
      <c r="Y3" s="49">
        <f>VLOOKUP($B3,Form_Playoff1aFase!$C$1:$AQ$44,23,FALSE)</f>
        <v>3</v>
      </c>
      <c r="Z3" s="47" t="str">
        <f t="shared" ref="Z3:Z23" si="5">IF(W3&gt;Y3,"casa",IF(W3=Y3,"empate","visita"))</f>
        <v>visita</v>
      </c>
      <c r="AA3" s="48">
        <f>IF(W3=PLAYOFF_1aFASE!W$24,IF(PLAYOFF_1aFASE!Y$24=Y3,Pesos!$M$6,IF(Z3=PLAYOFF_1aFASE!Z$24,Pesos!$M$3,0)),IF(Z3=PLAYOFF_1aFASE!Z$24,Pesos!$M$3,0))*IF(COUNTIF(Z$3:Z$23,Z3)=1,2,1)</f>
        <v>0.5</v>
      </c>
      <c r="AB3" s="49">
        <f>VLOOKUP($B3,Form_Playoff1aFase!$C$1:$AQ$44,27,FALSE)</f>
        <v>1</v>
      </c>
      <c r="AC3" s="50" t="s">
        <v>98</v>
      </c>
      <c r="AD3" s="49">
        <f>VLOOKUP($B3,Form_Playoff1aFase!$C$1:$AQ$44,28,FALSE)</f>
        <v>1</v>
      </c>
      <c r="AE3" s="47" t="str">
        <f t="shared" ref="AE3:AE23" si="6">IF(AB3&gt;AD3,"casa",IF(AB3=AD3,"empate","visita"))</f>
        <v>empate</v>
      </c>
      <c r="AF3" s="48">
        <f>IF(AB3=PLAYOFF_1aFASE!AB$24,IF(PLAYOFF_1aFASE!AD$24=AD3,Pesos!$M$6,IF(AE3=PLAYOFF_1aFASE!AE$24,Pesos!$M$3,0)),IF(AE3=PLAYOFF_1aFASE!AE$24,Pesos!$M$3,0))*IF(COUNTIF(AE$3:AE$23,AE3)=1,2,1)</f>
        <v>0.5</v>
      </c>
      <c r="AG3" s="49">
        <f>VLOOKUP($B3,Form_Playoff1aFase!$C$1:$AQ$44,32,FALSE)</f>
        <v>0</v>
      </c>
      <c r="AH3" s="50" t="s">
        <v>98</v>
      </c>
      <c r="AI3" s="49">
        <f>VLOOKUP($B3,Form_Playoff1aFase!$C$1:$AQ$44,33,FALSE)</f>
        <v>2</v>
      </c>
      <c r="AJ3" s="47" t="str">
        <f t="shared" ref="AJ3:AJ23" si="7">IF(AG3&gt;AI3,"casa",IF(AG3=AI3,"empate","visita"))</f>
        <v>visita</v>
      </c>
      <c r="AK3" s="48">
        <f>IF(AG3=PLAYOFF_1aFASE!AG$24,IF(PLAYOFF_1aFASE!AI$24=AI3,Pesos!$M$6,IF(AJ3=PLAYOFF_1aFASE!AJ$24,Pesos!$M$3,0)),IF(AJ3=PLAYOFF_1aFASE!AJ$24,Pesos!$M$3,0))*IF(COUNTIF(AJ$3:AJ$23,AJ3)=1,2,1)</f>
        <v>0</v>
      </c>
      <c r="AL3" s="49">
        <f>VLOOKUP($B3,Form_Playoff1aFase!$C$1:$AQ$44,37,FALSE)</f>
        <v>1</v>
      </c>
      <c r="AM3" s="50" t="s">
        <v>98</v>
      </c>
      <c r="AN3" s="49">
        <f>VLOOKUP($B3,Form_Playoff1aFase!$C$1:$AQ$44,38,FALSE)</f>
        <v>2</v>
      </c>
      <c r="AO3" s="47" t="str">
        <f t="shared" ref="AO3:AO23" si="8">IF(AL3&gt;AN3,"casa",IF(AL3=AN3,"empate","visita"))</f>
        <v>visita</v>
      </c>
      <c r="AP3" s="48">
        <f>IF(AL3=PLAYOFF_1aFASE!AL$24,IF(PLAYOFF_1aFASE!AN$24=AN3,Pesos!$M$6,IF(AO3=PLAYOFF_1aFASE!AO$24,Pesos!$M$3,0)),IF(AO3=PLAYOFF_1aFASE!AO$24,Pesos!$M$3,0))*IF(COUNTIF(AO$3:AO$23,AO3)=1,2,1)</f>
        <v>0.5</v>
      </c>
      <c r="AQ3" s="41"/>
      <c r="AR3" s="41">
        <f t="shared" ref="AR3:AR23" si="9">IF(L3=0,0,1)+IF(Q3=0,0,1)+IF(V3=0,0,1)+IF(AA3=0,0,1)+IF(AF3=0,0,1)+IF(AK3=0,0,1)+IF(AP3=0,0,1)+IF(G3=0,0,1)</f>
        <v>5</v>
      </c>
    </row>
    <row r="4" ht="14.25" customHeight="1">
      <c r="A4" s="40"/>
      <c r="B4" s="51" t="s">
        <v>10</v>
      </c>
      <c r="C4" s="46">
        <f>VLOOKUP($B4,Form_Playoff1aFase!$C$1:$AQ$44,2,FALSE)</f>
        <v>0</v>
      </c>
      <c r="D4" s="48" t="s">
        <v>98</v>
      </c>
      <c r="E4" s="46">
        <f>VLOOKUP($B4,Form_Playoff1aFase!$C$1:$AQ$44,3,FALSE)</f>
        <v>3</v>
      </c>
      <c r="F4" s="47" t="str">
        <f t="shared" si="1"/>
        <v>visita</v>
      </c>
      <c r="G4" s="48">
        <f>IF(C4=PLAYOFF_1aFASE!C$24,IF(PLAYOFF_1aFASE!E$24=E4,Pesos!$M$6,IF(F4=PLAYOFF_1aFASE!F$24,Pesos!$M$3,0)),IF(F4=PLAYOFF_1aFASE!F$24,Pesos!$M$3,0))*IF(COUNTIF(F$3:F$23,F4)=1,2,1)</f>
        <v>0.5</v>
      </c>
      <c r="H4" s="49">
        <f>VLOOKUP($B4,Form_Playoff1aFase!$C$1:$AQ$44,7,FALSE)</f>
        <v>2</v>
      </c>
      <c r="I4" s="48" t="s">
        <v>98</v>
      </c>
      <c r="J4" s="49">
        <f>VLOOKUP($B4,Form_Playoff1aFase!$C$1:$AQ$44,8,FALSE)</f>
        <v>1</v>
      </c>
      <c r="K4" s="47" t="str">
        <f t="shared" si="2"/>
        <v>casa</v>
      </c>
      <c r="L4" s="48">
        <f>IF(H4=PLAYOFF_1aFASE!H$24,IF(PLAYOFF_1aFASE!J$24=J4,Pesos!$M$6,IF(K4=PLAYOFF_1aFASE!K$24,Pesos!$M$3,0)),IF(K4=PLAYOFF_1aFASE!K$24,Pesos!$M$3,0))*IF(COUNTIF(K$3:K$23,K4)=1,2,1)</f>
        <v>0.5</v>
      </c>
      <c r="M4" s="49">
        <f>VLOOKUP($B4,Form_Playoff1aFase!$C$1:$AQ$44,12,FALSE)</f>
        <v>2</v>
      </c>
      <c r="N4" s="48" t="s">
        <v>98</v>
      </c>
      <c r="O4" s="49">
        <f>VLOOKUP($B4,Form_Playoff1aFase!$C$1:$AQ$44,13,FALSE)</f>
        <v>2</v>
      </c>
      <c r="P4" s="47" t="str">
        <f t="shared" si="3"/>
        <v>empate</v>
      </c>
      <c r="Q4" s="48">
        <f>IF(M4=PLAYOFF_1aFASE!M$24,IF(PLAYOFF_1aFASE!O$24=O4,Pesos!$M$6,IF(P4=PLAYOFF_1aFASE!P$24,Pesos!$M$3,0)),IF(P4=PLAYOFF_1aFASE!P$24,Pesos!$M$3,0))*IF(COUNTIF(P$3:P$23,P4)=1,2,1)</f>
        <v>0</v>
      </c>
      <c r="R4" s="49">
        <f>VLOOKUP($B4,Form_Playoff1aFase!$C$1:$AQ$44,17,FALSE)</f>
        <v>2</v>
      </c>
      <c r="S4" s="48" t="s">
        <v>98</v>
      </c>
      <c r="T4" s="49">
        <f>VLOOKUP($B4,Form_Playoff1aFase!$C$1:$AQ$44,18,FALSE)</f>
        <v>0</v>
      </c>
      <c r="U4" s="47" t="str">
        <f t="shared" si="4"/>
        <v>casa</v>
      </c>
      <c r="V4" s="48">
        <f>IF(R4=PLAYOFF_1aFASE!R$24,IF(PLAYOFF_1aFASE!T$24=T4,Pesos!$M$6,IF(U4=PLAYOFF_1aFASE!U$24,Pesos!$M$3,0)),IF(U4=PLAYOFF_1aFASE!U$24,Pesos!$M$3,0))*IF(COUNTIF(U$3:U$23,U4)=1,2,1)</f>
        <v>3</v>
      </c>
      <c r="W4" s="49">
        <f>VLOOKUP($B4,Form_Playoff1aFase!$C$1:$AQ$44,22,FALSE)</f>
        <v>1</v>
      </c>
      <c r="X4" s="48" t="s">
        <v>98</v>
      </c>
      <c r="Y4" s="49">
        <f>VLOOKUP($B4,Form_Playoff1aFase!$C$1:$AQ$44,23,FALSE)</f>
        <v>2</v>
      </c>
      <c r="Z4" s="47" t="str">
        <f t="shared" si="5"/>
        <v>visita</v>
      </c>
      <c r="AA4" s="48">
        <f>IF(W4=PLAYOFF_1aFASE!W$24,IF(PLAYOFF_1aFASE!Y$24=Y4,Pesos!$M$6,IF(Z4=PLAYOFF_1aFASE!Z$24,Pesos!$M$3,0)),IF(Z4=PLAYOFF_1aFASE!Z$24,Pesos!$M$3,0))*IF(COUNTIF(Z$3:Z$23,Z4)=1,2,1)</f>
        <v>0.5</v>
      </c>
      <c r="AB4" s="49">
        <f>VLOOKUP($B4,Form_Playoff1aFase!$C$1:$AQ$44,27,FALSE)</f>
        <v>0</v>
      </c>
      <c r="AC4" s="48" t="s">
        <v>98</v>
      </c>
      <c r="AD4" s="49">
        <f>VLOOKUP($B4,Form_Playoff1aFase!$C$1:$AQ$44,28,FALSE)</f>
        <v>3</v>
      </c>
      <c r="AE4" s="47" t="str">
        <f t="shared" si="6"/>
        <v>visita</v>
      </c>
      <c r="AF4" s="48">
        <f>IF(AB4=PLAYOFF_1aFASE!AB$24,IF(PLAYOFF_1aFASE!AD$24=AD4,Pesos!$M$6,IF(AE4=PLAYOFF_1aFASE!AE$24,Pesos!$M$3,0)),IF(AE4=PLAYOFF_1aFASE!AE$24,Pesos!$M$3,0))*IF(COUNTIF(AE$3:AE$23,AE4)=1,2,1)</f>
        <v>0</v>
      </c>
      <c r="AG4" s="49">
        <f>VLOOKUP($B4,Form_Playoff1aFase!$C$1:$AQ$44,32,FALSE)</f>
        <v>1</v>
      </c>
      <c r="AH4" s="48" t="s">
        <v>98</v>
      </c>
      <c r="AI4" s="49">
        <f>VLOOKUP($B4,Form_Playoff1aFase!$C$1:$AQ$44,33,FALSE)</f>
        <v>2</v>
      </c>
      <c r="AJ4" s="47" t="str">
        <f t="shared" si="7"/>
        <v>visita</v>
      </c>
      <c r="AK4" s="48">
        <f>IF(AG4=PLAYOFF_1aFASE!AG$24,IF(PLAYOFF_1aFASE!AI$24=AI4,Pesos!$M$6,IF(AJ4=PLAYOFF_1aFASE!AJ$24,Pesos!$M$3,0)),IF(AJ4=PLAYOFF_1aFASE!AJ$24,Pesos!$M$3,0))*IF(COUNTIF(AJ$3:AJ$23,AJ4)=1,2,1)</f>
        <v>0</v>
      </c>
      <c r="AL4" s="49">
        <f>VLOOKUP($B4,Form_Playoff1aFase!$C$1:$AQ$44,37,FALSE)</f>
        <v>1</v>
      </c>
      <c r="AM4" s="48" t="s">
        <v>98</v>
      </c>
      <c r="AN4" s="49">
        <f>VLOOKUP($B4,Form_Playoff1aFase!$C$1:$AQ$44,38,FALSE)</f>
        <v>1</v>
      </c>
      <c r="AO4" s="47" t="str">
        <f t="shared" si="8"/>
        <v>empate</v>
      </c>
      <c r="AP4" s="48">
        <f>IF(AL4=PLAYOFF_1aFASE!AL$24,IF(PLAYOFF_1aFASE!AN$24=AN4,Pesos!$M$6,IF(AO4=PLAYOFF_1aFASE!AO$24,Pesos!$M$3,0)),IF(AO4=PLAYOFF_1aFASE!AO$24,Pesos!$M$3,0))*IF(COUNTIF(AO$3:AO$23,AO4)=1,2,1)</f>
        <v>0</v>
      </c>
      <c r="AQ4" s="41"/>
      <c r="AR4" s="41">
        <f t="shared" si="9"/>
        <v>4</v>
      </c>
    </row>
    <row r="5" ht="14.25" customHeight="1">
      <c r="A5" s="40"/>
      <c r="B5" s="51" t="s">
        <v>17</v>
      </c>
      <c r="C5" s="46">
        <f>VLOOKUP($B5,Form_Playoff1aFase!$C$1:$AQ$44,2,FALSE)</f>
        <v>1</v>
      </c>
      <c r="D5" s="9" t="s">
        <v>98</v>
      </c>
      <c r="E5" s="46">
        <f>VLOOKUP($B5,Form_Playoff1aFase!$C$1:$AQ$44,3,FALSE)</f>
        <v>3</v>
      </c>
      <c r="F5" s="47" t="str">
        <f t="shared" si="1"/>
        <v>visita</v>
      </c>
      <c r="G5" s="48">
        <f>IF(C5=PLAYOFF_1aFASE!C$24,IF(PLAYOFF_1aFASE!E$24=E5,Pesos!$M$6,IF(F5=PLAYOFF_1aFASE!F$24,Pesos!$M$3,0)),IF(F5=PLAYOFF_1aFASE!F$24,Pesos!$M$3,0))*IF(COUNTIF(F$3:F$23,F5)=1,2,1)</f>
        <v>0.5</v>
      </c>
      <c r="H5" s="49">
        <f>VLOOKUP($B5,Form_Playoff1aFase!$C$1:$AQ$44,7,FALSE)</f>
        <v>1</v>
      </c>
      <c r="I5" s="9" t="s">
        <v>98</v>
      </c>
      <c r="J5" s="49">
        <f>VLOOKUP($B5,Form_Playoff1aFase!$C$1:$AQ$44,8,FALSE)</f>
        <v>1</v>
      </c>
      <c r="K5" s="47" t="str">
        <f t="shared" si="2"/>
        <v>empate</v>
      </c>
      <c r="L5" s="48">
        <f>IF(H5=PLAYOFF_1aFASE!H$24,IF(PLAYOFF_1aFASE!J$24=J5,Pesos!$M$6,IF(K5=PLAYOFF_1aFASE!K$24,Pesos!$M$3,0)),IF(K5=PLAYOFF_1aFASE!K$24,Pesos!$M$3,0))*IF(COUNTIF(K$3:K$23,K5)=1,2,1)</f>
        <v>0</v>
      </c>
      <c r="M5" s="49">
        <f>VLOOKUP($B5,Form_Playoff1aFase!$C$1:$AQ$44,12,FALSE)</f>
        <v>2</v>
      </c>
      <c r="N5" s="9" t="s">
        <v>98</v>
      </c>
      <c r="O5" s="49">
        <f>VLOOKUP($B5,Form_Playoff1aFase!$C$1:$AQ$44,13,FALSE)</f>
        <v>2</v>
      </c>
      <c r="P5" s="47" t="str">
        <f t="shared" si="3"/>
        <v>empate</v>
      </c>
      <c r="Q5" s="48">
        <f>IF(M5=PLAYOFF_1aFASE!M$24,IF(PLAYOFF_1aFASE!O$24=O5,Pesos!$M$6,IF(P5=PLAYOFF_1aFASE!P$24,Pesos!$M$3,0)),IF(P5=PLAYOFF_1aFASE!P$24,Pesos!$M$3,0))*IF(COUNTIF(P$3:P$23,P5)=1,2,1)</f>
        <v>0</v>
      </c>
      <c r="R5" s="49">
        <f>VLOOKUP($B5,Form_Playoff1aFase!$C$1:$AQ$44,17,FALSE)</f>
        <v>2</v>
      </c>
      <c r="S5" s="9" t="s">
        <v>98</v>
      </c>
      <c r="T5" s="49">
        <f>VLOOKUP($B5,Form_Playoff1aFase!$C$1:$AQ$44,18,FALSE)</f>
        <v>0</v>
      </c>
      <c r="U5" s="47" t="str">
        <f t="shared" si="4"/>
        <v>casa</v>
      </c>
      <c r="V5" s="48">
        <f>IF(R5=PLAYOFF_1aFASE!R$24,IF(PLAYOFF_1aFASE!T$24=T5,Pesos!$M$6,IF(U5=PLAYOFF_1aFASE!U$24,Pesos!$M$3,0)),IF(U5=PLAYOFF_1aFASE!U$24,Pesos!$M$3,0))*IF(COUNTIF(U$3:U$23,U5)=1,2,1)</f>
        <v>3</v>
      </c>
      <c r="W5" s="49">
        <f>VLOOKUP($B5,Form_Playoff1aFase!$C$1:$AQ$44,22,FALSE)</f>
        <v>0</v>
      </c>
      <c r="X5" s="9" t="s">
        <v>98</v>
      </c>
      <c r="Y5" s="49">
        <f>VLOOKUP($B5,Form_Playoff1aFase!$C$1:$AQ$44,23,FALSE)</f>
        <v>3</v>
      </c>
      <c r="Z5" s="47" t="str">
        <f t="shared" si="5"/>
        <v>visita</v>
      </c>
      <c r="AA5" s="48">
        <f>IF(W5=PLAYOFF_1aFASE!W$24,IF(PLAYOFF_1aFASE!Y$24=Y5,Pesos!$M$6,IF(Z5=PLAYOFF_1aFASE!Z$24,Pesos!$M$3,0)),IF(Z5=PLAYOFF_1aFASE!Z$24,Pesos!$M$3,0))*IF(COUNTIF(Z$3:Z$23,Z5)=1,2,1)</f>
        <v>0.5</v>
      </c>
      <c r="AB5" s="49">
        <f>VLOOKUP($B5,Form_Playoff1aFase!$C$1:$AQ$44,27,FALSE)</f>
        <v>1</v>
      </c>
      <c r="AC5" s="9" t="s">
        <v>98</v>
      </c>
      <c r="AD5" s="49">
        <f>VLOOKUP($B5,Form_Playoff1aFase!$C$1:$AQ$44,28,FALSE)</f>
        <v>1</v>
      </c>
      <c r="AE5" s="47" t="str">
        <f t="shared" si="6"/>
        <v>empate</v>
      </c>
      <c r="AF5" s="48">
        <f>IF(AB5=PLAYOFF_1aFASE!AB$24,IF(PLAYOFF_1aFASE!AD$24=AD5,Pesos!$M$6,IF(AE5=PLAYOFF_1aFASE!AE$24,Pesos!$M$3,0)),IF(AE5=PLAYOFF_1aFASE!AE$24,Pesos!$M$3,0))*IF(COUNTIF(AE$3:AE$23,AE5)=1,2,1)</f>
        <v>0.5</v>
      </c>
      <c r="AG5" s="49">
        <f>VLOOKUP($B5,Form_Playoff1aFase!$C$1:$AQ$44,32,FALSE)</f>
        <v>0</v>
      </c>
      <c r="AH5" s="9" t="s">
        <v>98</v>
      </c>
      <c r="AI5" s="49">
        <f>VLOOKUP($B5,Form_Playoff1aFase!$C$1:$AQ$44,33,FALSE)</f>
        <v>5</v>
      </c>
      <c r="AJ5" s="47" t="str">
        <f t="shared" si="7"/>
        <v>visita</v>
      </c>
      <c r="AK5" s="48">
        <f>IF(AG5=PLAYOFF_1aFASE!AG$24,IF(PLAYOFF_1aFASE!AI$24=AI5,Pesos!$M$6,IF(AJ5=PLAYOFF_1aFASE!AJ$24,Pesos!$M$3,0)),IF(AJ5=PLAYOFF_1aFASE!AJ$24,Pesos!$M$3,0))*IF(COUNTIF(AJ$3:AJ$23,AJ5)=1,2,1)</f>
        <v>0</v>
      </c>
      <c r="AL5" s="49">
        <f>VLOOKUP($B5,Form_Playoff1aFase!$C$1:$AQ$44,37,FALSE)</f>
        <v>2</v>
      </c>
      <c r="AM5" s="9" t="s">
        <v>98</v>
      </c>
      <c r="AN5" s="49">
        <f>VLOOKUP($B5,Form_Playoff1aFase!$C$1:$AQ$44,38,FALSE)</f>
        <v>1</v>
      </c>
      <c r="AO5" s="47" t="str">
        <f t="shared" si="8"/>
        <v>casa</v>
      </c>
      <c r="AP5" s="48">
        <f>IF(AL5=PLAYOFF_1aFASE!AL$24,IF(PLAYOFF_1aFASE!AN$24=AN5,Pesos!$M$6,IF(AO5=PLAYOFF_1aFASE!AO$24,Pesos!$M$3,0)),IF(AO5=PLAYOFF_1aFASE!AO$24,Pesos!$M$3,0))*IF(COUNTIF(AO$3:AO$23,AO5)=1,2,1)</f>
        <v>0</v>
      </c>
      <c r="AQ5" s="41"/>
      <c r="AR5" s="41">
        <f t="shared" si="9"/>
        <v>4</v>
      </c>
    </row>
    <row r="6" ht="14.25" customHeight="1">
      <c r="A6" s="40"/>
      <c r="B6" s="51" t="s">
        <v>3</v>
      </c>
      <c r="C6" s="46">
        <f>VLOOKUP($B6,Form_Playoff1aFase!$C$1:$AQ$44,2,FALSE)</f>
        <v>2</v>
      </c>
      <c r="D6" s="9" t="s">
        <v>98</v>
      </c>
      <c r="E6" s="46">
        <f>VLOOKUP($B6,Form_Playoff1aFase!$C$1:$AQ$44,3,FALSE)</f>
        <v>2</v>
      </c>
      <c r="F6" s="47" t="str">
        <f t="shared" si="1"/>
        <v>empate</v>
      </c>
      <c r="G6" s="48">
        <f>IF(C6=PLAYOFF_1aFASE!C$24,IF(PLAYOFF_1aFASE!E$24=E6,Pesos!$M$6,IF(F6=PLAYOFF_1aFASE!F$24,Pesos!$M$3,0)),IF(F6=PLAYOFF_1aFASE!F$24,Pesos!$M$3,0))*IF(COUNTIF(F$3:F$23,F6)=1,2,1)</f>
        <v>0</v>
      </c>
      <c r="H6" s="49">
        <f>VLOOKUP($B6,Form_Playoff1aFase!$C$1:$AQ$44,7,FALSE)</f>
        <v>0</v>
      </c>
      <c r="I6" s="9" t="s">
        <v>98</v>
      </c>
      <c r="J6" s="49">
        <f>VLOOKUP($B6,Form_Playoff1aFase!$C$1:$AQ$44,8,FALSE)</f>
        <v>1</v>
      </c>
      <c r="K6" s="47" t="str">
        <f t="shared" si="2"/>
        <v>visita</v>
      </c>
      <c r="L6" s="48">
        <f>IF(H6=PLAYOFF_1aFASE!H$24,IF(PLAYOFF_1aFASE!J$24=J6,Pesos!$M$6,IF(K6=PLAYOFF_1aFASE!K$24,Pesos!$M$3,0)),IF(K6=PLAYOFF_1aFASE!K$24,Pesos!$M$3,0))*IF(COUNTIF(K$3:K$23,K6)=1,2,1)</f>
        <v>0</v>
      </c>
      <c r="M6" s="49">
        <f>VLOOKUP($B6,Form_Playoff1aFase!$C$1:$AQ$44,12,FALSE)</f>
        <v>1</v>
      </c>
      <c r="N6" s="9" t="s">
        <v>98</v>
      </c>
      <c r="O6" s="49">
        <f>VLOOKUP($B6,Form_Playoff1aFase!$C$1:$AQ$44,13,FALSE)</f>
        <v>2</v>
      </c>
      <c r="P6" s="47" t="str">
        <f t="shared" si="3"/>
        <v>visita</v>
      </c>
      <c r="Q6" s="48">
        <f>IF(M6=PLAYOFF_1aFASE!M$24,IF(PLAYOFF_1aFASE!O$24=O6,Pesos!$M$6,IF(P6=PLAYOFF_1aFASE!P$24,Pesos!$M$3,0)),IF(P6=PLAYOFF_1aFASE!P$24,Pesos!$M$3,0))*IF(COUNTIF(P$3:P$23,P6)=1,2,1)</f>
        <v>0.5</v>
      </c>
      <c r="R6" s="49">
        <f>VLOOKUP($B6,Form_Playoff1aFase!$C$1:$AQ$44,17,FALSE)</f>
        <v>1</v>
      </c>
      <c r="S6" s="9" t="s">
        <v>98</v>
      </c>
      <c r="T6" s="49">
        <f>VLOOKUP($B6,Form_Playoff1aFase!$C$1:$AQ$44,18,FALSE)</f>
        <v>1</v>
      </c>
      <c r="U6" s="47" t="str">
        <f t="shared" si="4"/>
        <v>empate</v>
      </c>
      <c r="V6" s="48">
        <f>IF(R6=PLAYOFF_1aFASE!R$24,IF(PLAYOFF_1aFASE!T$24=T6,Pesos!$M$6,IF(U6=PLAYOFF_1aFASE!U$24,Pesos!$M$3,0)),IF(U6=PLAYOFF_1aFASE!U$24,Pesos!$M$3,0))*IF(COUNTIF(U$3:U$23,U6)=1,2,1)</f>
        <v>0</v>
      </c>
      <c r="W6" s="49">
        <f>VLOOKUP($B6,Form_Playoff1aFase!$C$1:$AQ$44,22,FALSE)</f>
        <v>0</v>
      </c>
      <c r="X6" s="9" t="s">
        <v>98</v>
      </c>
      <c r="Y6" s="49">
        <f>VLOOKUP($B6,Form_Playoff1aFase!$C$1:$AQ$44,23,FALSE)</f>
        <v>3</v>
      </c>
      <c r="Z6" s="47" t="str">
        <f t="shared" si="5"/>
        <v>visita</v>
      </c>
      <c r="AA6" s="48">
        <f>IF(W6=PLAYOFF_1aFASE!W$24,IF(PLAYOFF_1aFASE!Y$24=Y6,Pesos!$M$6,IF(Z6=PLAYOFF_1aFASE!Z$24,Pesos!$M$3,0)),IF(Z6=PLAYOFF_1aFASE!Z$24,Pesos!$M$3,0))*IF(COUNTIF(Z$3:Z$23,Z6)=1,2,1)</f>
        <v>0.5</v>
      </c>
      <c r="AB6" s="49">
        <f>VLOOKUP($B6,Form_Playoff1aFase!$C$1:$AQ$44,27,FALSE)</f>
        <v>0</v>
      </c>
      <c r="AC6" s="9" t="s">
        <v>98</v>
      </c>
      <c r="AD6" s="49">
        <f>VLOOKUP($B6,Form_Playoff1aFase!$C$1:$AQ$44,28,FALSE)</f>
        <v>0</v>
      </c>
      <c r="AE6" s="47" t="str">
        <f t="shared" si="6"/>
        <v>empate</v>
      </c>
      <c r="AF6" s="48">
        <f>IF(AB6=PLAYOFF_1aFASE!AB$24,IF(PLAYOFF_1aFASE!AD$24=AD6,Pesos!$M$6,IF(AE6=PLAYOFF_1aFASE!AE$24,Pesos!$M$3,0)),IF(AE6=PLAYOFF_1aFASE!AE$24,Pesos!$M$3,0))*IF(COUNTIF(AE$3:AE$23,AE6)=1,2,1)</f>
        <v>0.5</v>
      </c>
      <c r="AG6" s="49">
        <f>VLOOKUP($B6,Form_Playoff1aFase!$C$1:$AQ$44,32,FALSE)</f>
        <v>1</v>
      </c>
      <c r="AH6" s="9" t="s">
        <v>98</v>
      </c>
      <c r="AI6" s="49">
        <f>VLOOKUP($B6,Form_Playoff1aFase!$C$1:$AQ$44,33,FALSE)</f>
        <v>4</v>
      </c>
      <c r="AJ6" s="47" t="str">
        <f t="shared" si="7"/>
        <v>visita</v>
      </c>
      <c r="AK6" s="48">
        <f>IF(AG6=PLAYOFF_1aFASE!AG$24,IF(PLAYOFF_1aFASE!AI$24=AI6,Pesos!$M$6,IF(AJ6=PLAYOFF_1aFASE!AJ$24,Pesos!$M$3,0)),IF(AJ6=PLAYOFF_1aFASE!AJ$24,Pesos!$M$3,0))*IF(COUNTIF(AJ$3:AJ$23,AJ6)=1,2,1)</f>
        <v>0</v>
      </c>
      <c r="AL6" s="49">
        <f>VLOOKUP($B6,Form_Playoff1aFase!$C$1:$AQ$44,37,FALSE)</f>
        <v>1</v>
      </c>
      <c r="AM6" s="9" t="s">
        <v>98</v>
      </c>
      <c r="AN6" s="49">
        <f>VLOOKUP($B6,Form_Playoff1aFase!$C$1:$AQ$44,38,FALSE)</f>
        <v>2</v>
      </c>
      <c r="AO6" s="47" t="str">
        <f t="shared" si="8"/>
        <v>visita</v>
      </c>
      <c r="AP6" s="48">
        <f>IF(AL6=PLAYOFF_1aFASE!AL$24,IF(PLAYOFF_1aFASE!AN$24=AN6,Pesos!$M$6,IF(AO6=PLAYOFF_1aFASE!AO$24,Pesos!$M$3,0)),IF(AO6=PLAYOFF_1aFASE!AO$24,Pesos!$M$3,0))*IF(COUNTIF(AO$3:AO$23,AO6)=1,2,1)</f>
        <v>0.5</v>
      </c>
      <c r="AQ6" s="41"/>
      <c r="AR6" s="41">
        <f t="shared" si="9"/>
        <v>4</v>
      </c>
    </row>
    <row r="7" ht="14.25" customHeight="1">
      <c r="A7" s="40"/>
      <c r="B7" s="51" t="s">
        <v>13</v>
      </c>
      <c r="C7" s="46">
        <f>VLOOKUP($B7,Form_Playoff1aFase!$C$1:$AQ$44,2,FALSE)</f>
        <v>0</v>
      </c>
      <c r="D7" s="9" t="s">
        <v>98</v>
      </c>
      <c r="E7" s="46">
        <f>VLOOKUP($B7,Form_Playoff1aFase!$C$1:$AQ$44,3,FALSE)</f>
        <v>2</v>
      </c>
      <c r="F7" s="47" t="str">
        <f t="shared" si="1"/>
        <v>visita</v>
      </c>
      <c r="G7" s="48">
        <f>IF(C7=PLAYOFF_1aFASE!C$24,IF(PLAYOFF_1aFASE!E$24=E7,Pesos!$M$6,IF(F7=PLAYOFF_1aFASE!F$24,Pesos!$M$3,0)),IF(F7=PLAYOFF_1aFASE!F$24,Pesos!$M$3,0))*IF(COUNTIF(F$3:F$23,F7)=1,2,1)</f>
        <v>0.5</v>
      </c>
      <c r="H7" s="49">
        <f>VLOOKUP($B7,Form_Playoff1aFase!$C$1:$AQ$44,7,FALSE)</f>
        <v>0</v>
      </c>
      <c r="I7" s="9" t="s">
        <v>98</v>
      </c>
      <c r="J7" s="49">
        <f>VLOOKUP($B7,Form_Playoff1aFase!$C$1:$AQ$44,8,FALSE)</f>
        <v>1</v>
      </c>
      <c r="K7" s="47" t="str">
        <f t="shared" si="2"/>
        <v>visita</v>
      </c>
      <c r="L7" s="48">
        <f>IF(H7=PLAYOFF_1aFASE!H$24,IF(PLAYOFF_1aFASE!J$24=J7,Pesos!$M$6,IF(K7=PLAYOFF_1aFASE!K$24,Pesos!$M$3,0)),IF(K7=PLAYOFF_1aFASE!K$24,Pesos!$M$3,0))*IF(COUNTIF(K$3:K$23,K7)=1,2,1)</f>
        <v>0</v>
      </c>
      <c r="M7" s="49">
        <f>VLOOKUP($B7,Form_Playoff1aFase!$C$1:$AQ$44,12,FALSE)</f>
        <v>1</v>
      </c>
      <c r="N7" s="9" t="s">
        <v>98</v>
      </c>
      <c r="O7" s="49">
        <f>VLOOKUP($B7,Form_Playoff1aFase!$C$1:$AQ$44,13,FALSE)</f>
        <v>0</v>
      </c>
      <c r="P7" s="47" t="str">
        <f t="shared" si="3"/>
        <v>casa</v>
      </c>
      <c r="Q7" s="48">
        <f>IF(M7=PLAYOFF_1aFASE!M$24,IF(PLAYOFF_1aFASE!O$24=O7,Pesos!$M$6,IF(P7=PLAYOFF_1aFASE!P$24,Pesos!$M$3,0)),IF(P7=PLAYOFF_1aFASE!P$24,Pesos!$M$3,0))*IF(COUNTIF(P$3:P$23,P7)=1,2,1)</f>
        <v>0</v>
      </c>
      <c r="R7" s="49">
        <f>VLOOKUP($B7,Form_Playoff1aFase!$C$1:$AQ$44,17,FALSE)</f>
        <v>2</v>
      </c>
      <c r="S7" s="9" t="s">
        <v>98</v>
      </c>
      <c r="T7" s="49">
        <f>VLOOKUP($B7,Form_Playoff1aFase!$C$1:$AQ$44,18,FALSE)</f>
        <v>1</v>
      </c>
      <c r="U7" s="47" t="str">
        <f t="shared" si="4"/>
        <v>casa</v>
      </c>
      <c r="V7" s="48">
        <f>IF(R7=PLAYOFF_1aFASE!R$24,IF(PLAYOFF_1aFASE!T$24=T7,Pesos!$M$6,IF(U7=PLAYOFF_1aFASE!U$24,Pesos!$M$3,0)),IF(U7=PLAYOFF_1aFASE!U$24,Pesos!$M$3,0))*IF(COUNTIF(U$3:U$23,U7)=1,2,1)</f>
        <v>0.5</v>
      </c>
      <c r="W7" s="49">
        <f>VLOOKUP($B7,Form_Playoff1aFase!$C$1:$AQ$44,22,FALSE)</f>
        <v>0</v>
      </c>
      <c r="X7" s="9" t="s">
        <v>98</v>
      </c>
      <c r="Y7" s="49">
        <f>VLOOKUP($B7,Form_Playoff1aFase!$C$1:$AQ$44,23,FALSE)</f>
        <v>1</v>
      </c>
      <c r="Z7" s="47" t="str">
        <f t="shared" si="5"/>
        <v>visita</v>
      </c>
      <c r="AA7" s="48">
        <f>IF(W7=PLAYOFF_1aFASE!W$24,IF(PLAYOFF_1aFASE!Y$24=Y7,Pesos!$M$6,IF(Z7=PLAYOFF_1aFASE!Z$24,Pesos!$M$3,0)),IF(Z7=PLAYOFF_1aFASE!Z$24,Pesos!$M$3,0))*IF(COUNTIF(Z$3:Z$23,Z7)=1,2,1)</f>
        <v>0.5</v>
      </c>
      <c r="AB7" s="49">
        <f>VLOOKUP($B7,Form_Playoff1aFase!$C$1:$AQ$44,27,FALSE)</f>
        <v>0</v>
      </c>
      <c r="AC7" s="9" t="s">
        <v>98</v>
      </c>
      <c r="AD7" s="49">
        <f>VLOOKUP($B7,Form_Playoff1aFase!$C$1:$AQ$44,28,FALSE)</f>
        <v>1</v>
      </c>
      <c r="AE7" s="47" t="str">
        <f t="shared" si="6"/>
        <v>visita</v>
      </c>
      <c r="AF7" s="48">
        <f>IF(AB7=PLAYOFF_1aFASE!AB$24,IF(PLAYOFF_1aFASE!AD$24=AD7,Pesos!$M$6,IF(AE7=PLAYOFF_1aFASE!AE$24,Pesos!$M$3,0)),IF(AE7=PLAYOFF_1aFASE!AE$24,Pesos!$M$3,0))*IF(COUNTIF(AE$3:AE$23,AE7)=1,2,1)</f>
        <v>0</v>
      </c>
      <c r="AG7" s="49">
        <f>VLOOKUP($B7,Form_Playoff1aFase!$C$1:$AQ$44,32,FALSE)</f>
        <v>0</v>
      </c>
      <c r="AH7" s="9" t="s">
        <v>98</v>
      </c>
      <c r="AI7" s="49">
        <f>VLOOKUP($B7,Form_Playoff1aFase!$C$1:$AQ$44,33,FALSE)</f>
        <v>2</v>
      </c>
      <c r="AJ7" s="47" t="str">
        <f t="shared" si="7"/>
        <v>visita</v>
      </c>
      <c r="AK7" s="48">
        <f>IF(AG7=PLAYOFF_1aFASE!AG$24,IF(PLAYOFF_1aFASE!AI$24=AI7,Pesos!$M$6,IF(AJ7=PLAYOFF_1aFASE!AJ$24,Pesos!$M$3,0)),IF(AJ7=PLAYOFF_1aFASE!AJ$24,Pesos!$M$3,0))*IF(COUNTIF(AJ$3:AJ$23,AJ7)=1,2,1)</f>
        <v>0</v>
      </c>
      <c r="AL7" s="49">
        <f>VLOOKUP($B7,Form_Playoff1aFase!$C$1:$AQ$44,37,FALSE)</f>
        <v>1</v>
      </c>
      <c r="AM7" s="9" t="s">
        <v>98</v>
      </c>
      <c r="AN7" s="49">
        <f>VLOOKUP($B7,Form_Playoff1aFase!$C$1:$AQ$44,38,FALSE)</f>
        <v>1</v>
      </c>
      <c r="AO7" s="47" t="str">
        <f t="shared" si="8"/>
        <v>empate</v>
      </c>
      <c r="AP7" s="48">
        <f>IF(AL7=PLAYOFF_1aFASE!AL$24,IF(PLAYOFF_1aFASE!AN$24=AN7,Pesos!$M$6,IF(AO7=PLAYOFF_1aFASE!AO$24,Pesos!$M$3,0)),IF(AO7=PLAYOFF_1aFASE!AO$24,Pesos!$M$3,0))*IF(COUNTIF(AO$3:AO$23,AO7)=1,2,1)</f>
        <v>0</v>
      </c>
      <c r="AQ7" s="41"/>
      <c r="AR7" s="41">
        <f t="shared" si="9"/>
        <v>3</v>
      </c>
    </row>
    <row r="8" ht="14.25" customHeight="1">
      <c r="A8" s="40"/>
      <c r="B8" s="51" t="s">
        <v>14</v>
      </c>
      <c r="C8" s="46">
        <f>VLOOKUP($B8,Form_Playoff1aFase!$C$1:$AQ$44,2,FALSE)</f>
        <v>2</v>
      </c>
      <c r="D8" s="9" t="s">
        <v>98</v>
      </c>
      <c r="E8" s="46">
        <f>VLOOKUP($B8,Form_Playoff1aFase!$C$1:$AQ$44,3,FALSE)</f>
        <v>2</v>
      </c>
      <c r="F8" s="47" t="str">
        <f t="shared" si="1"/>
        <v>empate</v>
      </c>
      <c r="G8" s="48">
        <f>IF(C8=PLAYOFF_1aFASE!C$24,IF(PLAYOFF_1aFASE!E$24=E8,Pesos!$M$6,IF(F8=PLAYOFF_1aFASE!F$24,Pesos!$M$3,0)),IF(F8=PLAYOFF_1aFASE!F$24,Pesos!$M$3,0))*IF(COUNTIF(F$3:F$23,F8)=1,2,1)</f>
        <v>0</v>
      </c>
      <c r="H8" s="49">
        <f>VLOOKUP($B8,Form_Playoff1aFase!$C$1:$AQ$44,7,FALSE)</f>
        <v>0</v>
      </c>
      <c r="I8" s="9" t="s">
        <v>98</v>
      </c>
      <c r="J8" s="49">
        <f>VLOOKUP($B8,Form_Playoff1aFase!$C$1:$AQ$44,8,FALSE)</f>
        <v>0</v>
      </c>
      <c r="K8" s="47" t="str">
        <f t="shared" si="2"/>
        <v>empate</v>
      </c>
      <c r="L8" s="48">
        <f>IF(H8=PLAYOFF_1aFASE!H$24,IF(PLAYOFF_1aFASE!J$24=J8,Pesos!$M$6,IF(K8=PLAYOFF_1aFASE!K$24,Pesos!$M$3,0)),IF(K8=PLAYOFF_1aFASE!K$24,Pesos!$M$3,0))*IF(COUNTIF(K$3:K$23,K8)=1,2,1)</f>
        <v>0</v>
      </c>
      <c r="M8" s="49">
        <f>VLOOKUP($B8,Form_Playoff1aFase!$C$1:$AQ$44,12,FALSE)</f>
        <v>1</v>
      </c>
      <c r="N8" s="9" t="s">
        <v>98</v>
      </c>
      <c r="O8" s="49">
        <f>VLOOKUP($B8,Form_Playoff1aFase!$C$1:$AQ$44,13,FALSE)</f>
        <v>2</v>
      </c>
      <c r="P8" s="47" t="str">
        <f t="shared" si="3"/>
        <v>visita</v>
      </c>
      <c r="Q8" s="48">
        <f>IF(M8=PLAYOFF_1aFASE!M$24,IF(PLAYOFF_1aFASE!O$24=O8,Pesos!$M$6,IF(P8=PLAYOFF_1aFASE!P$24,Pesos!$M$3,0)),IF(P8=PLAYOFF_1aFASE!P$24,Pesos!$M$3,0))*IF(COUNTIF(P$3:P$23,P8)=1,2,1)</f>
        <v>0.5</v>
      </c>
      <c r="R8" s="49">
        <f>VLOOKUP($B8,Form_Playoff1aFase!$C$1:$AQ$44,17,FALSE)</f>
        <v>1</v>
      </c>
      <c r="S8" s="9" t="s">
        <v>98</v>
      </c>
      <c r="T8" s="49">
        <f>VLOOKUP($B8,Form_Playoff1aFase!$C$1:$AQ$44,18,FALSE)</f>
        <v>1</v>
      </c>
      <c r="U8" s="47" t="str">
        <f t="shared" si="4"/>
        <v>empate</v>
      </c>
      <c r="V8" s="48">
        <f>IF(R8=PLAYOFF_1aFASE!R$24,IF(PLAYOFF_1aFASE!T$24=T8,Pesos!$M$6,IF(U8=PLAYOFF_1aFASE!U$24,Pesos!$M$3,0)),IF(U8=PLAYOFF_1aFASE!U$24,Pesos!$M$3,0))*IF(COUNTIF(U$3:U$23,U8)=1,2,1)</f>
        <v>0</v>
      </c>
      <c r="W8" s="49">
        <f>VLOOKUP($B8,Form_Playoff1aFase!$C$1:$AQ$44,22,FALSE)</f>
        <v>0</v>
      </c>
      <c r="X8" s="9" t="s">
        <v>98</v>
      </c>
      <c r="Y8" s="49">
        <f>VLOOKUP($B8,Form_Playoff1aFase!$C$1:$AQ$44,23,FALSE)</f>
        <v>2</v>
      </c>
      <c r="Z8" s="47" t="str">
        <f t="shared" si="5"/>
        <v>visita</v>
      </c>
      <c r="AA8" s="48">
        <f>IF(W8=PLAYOFF_1aFASE!W$24,IF(PLAYOFF_1aFASE!Y$24=Y8,Pesos!$M$6,IF(Z8=PLAYOFF_1aFASE!Z$24,Pesos!$M$3,0)),IF(Z8=PLAYOFF_1aFASE!Z$24,Pesos!$M$3,0))*IF(COUNTIF(Z$3:Z$23,Z8)=1,2,1)</f>
        <v>0.5</v>
      </c>
      <c r="AB8" s="49">
        <f>VLOOKUP($B8,Form_Playoff1aFase!$C$1:$AQ$44,27,FALSE)</f>
        <v>0</v>
      </c>
      <c r="AC8" s="9" t="s">
        <v>98</v>
      </c>
      <c r="AD8" s="49">
        <f>VLOOKUP($B8,Form_Playoff1aFase!$C$1:$AQ$44,28,FALSE)</f>
        <v>0</v>
      </c>
      <c r="AE8" s="47" t="str">
        <f t="shared" si="6"/>
        <v>empate</v>
      </c>
      <c r="AF8" s="48">
        <f>IF(AB8=PLAYOFF_1aFASE!AB$24,IF(PLAYOFF_1aFASE!AD$24=AD8,Pesos!$M$6,IF(AE8=PLAYOFF_1aFASE!AE$24,Pesos!$M$3,0)),IF(AE8=PLAYOFF_1aFASE!AE$24,Pesos!$M$3,0))*IF(COUNTIF(AE$3:AE$23,AE8)=1,2,1)</f>
        <v>0.5</v>
      </c>
      <c r="AG8" s="49">
        <f>VLOOKUP($B8,Form_Playoff1aFase!$C$1:$AQ$44,32,FALSE)</f>
        <v>0</v>
      </c>
      <c r="AH8" s="9" t="s">
        <v>98</v>
      </c>
      <c r="AI8" s="49">
        <f>VLOOKUP($B8,Form_Playoff1aFase!$C$1:$AQ$44,33,FALSE)</f>
        <v>2</v>
      </c>
      <c r="AJ8" s="47" t="str">
        <f t="shared" si="7"/>
        <v>visita</v>
      </c>
      <c r="AK8" s="48">
        <f>IF(AG8=PLAYOFF_1aFASE!AG$24,IF(PLAYOFF_1aFASE!AI$24=AI8,Pesos!$M$6,IF(AJ8=PLAYOFF_1aFASE!AJ$24,Pesos!$M$3,0)),IF(AJ8=PLAYOFF_1aFASE!AJ$24,Pesos!$M$3,0))*IF(COUNTIF(AJ$3:AJ$23,AJ8)=1,2,1)</f>
        <v>0</v>
      </c>
      <c r="AL8" s="49">
        <f>VLOOKUP($B8,Form_Playoff1aFase!$C$1:$AQ$44,37,FALSE)</f>
        <v>1</v>
      </c>
      <c r="AM8" s="9" t="s">
        <v>98</v>
      </c>
      <c r="AN8" s="49">
        <f>VLOOKUP($B8,Form_Playoff1aFase!$C$1:$AQ$44,38,FALSE)</f>
        <v>0</v>
      </c>
      <c r="AO8" s="47" t="str">
        <f t="shared" si="8"/>
        <v>casa</v>
      </c>
      <c r="AP8" s="48">
        <f>IF(AL8=PLAYOFF_1aFASE!AL$24,IF(PLAYOFF_1aFASE!AN$24=AN8,Pesos!$M$6,IF(AO8=PLAYOFF_1aFASE!AO$24,Pesos!$M$3,0)),IF(AO8=PLAYOFF_1aFASE!AO$24,Pesos!$M$3,0))*IF(COUNTIF(AO$3:AO$23,AO8)=1,2,1)</f>
        <v>0</v>
      </c>
      <c r="AQ8" s="41"/>
      <c r="AR8" s="41">
        <f t="shared" si="9"/>
        <v>3</v>
      </c>
    </row>
    <row r="9" ht="14.25" customHeight="1">
      <c r="A9" s="40"/>
      <c r="B9" s="51" t="s">
        <v>6</v>
      </c>
      <c r="C9" s="46">
        <f>VLOOKUP($B9,Form_Playoff1aFase!$C$1:$AQ$44,2,FALSE)</f>
        <v>1</v>
      </c>
      <c r="D9" s="48" t="s">
        <v>98</v>
      </c>
      <c r="E9" s="46">
        <f>VLOOKUP($B9,Form_Playoff1aFase!$C$1:$AQ$44,3,FALSE)</f>
        <v>2</v>
      </c>
      <c r="F9" s="47" t="str">
        <f t="shared" si="1"/>
        <v>visita</v>
      </c>
      <c r="G9" s="48">
        <f>IF(C9=PLAYOFF_1aFASE!C$24,IF(PLAYOFF_1aFASE!E$24=E9,Pesos!$M$6,IF(F9=PLAYOFF_1aFASE!F$24,Pesos!$M$3,0)),IF(F9=PLAYOFF_1aFASE!F$24,Pesos!$M$3,0))*IF(COUNTIF(F$3:F$23,F9)=1,2,1)</f>
        <v>0.5</v>
      </c>
      <c r="H9" s="49">
        <f>VLOOKUP($B9,Form_Playoff1aFase!$C$1:$AQ$44,7,FALSE)</f>
        <v>1</v>
      </c>
      <c r="I9" s="48" t="s">
        <v>98</v>
      </c>
      <c r="J9" s="49">
        <f>VLOOKUP($B9,Form_Playoff1aFase!$C$1:$AQ$44,8,FALSE)</f>
        <v>0</v>
      </c>
      <c r="K9" s="47" t="str">
        <f t="shared" si="2"/>
        <v>casa</v>
      </c>
      <c r="L9" s="48">
        <f>IF(H9=PLAYOFF_1aFASE!H$24,IF(PLAYOFF_1aFASE!J$24=J9,Pesos!$M$6,IF(K9=PLAYOFF_1aFASE!K$24,Pesos!$M$3,0)),IF(K9=PLAYOFF_1aFASE!K$24,Pesos!$M$3,0))*IF(COUNTIF(K$3:K$23,K9)=1,2,1)</f>
        <v>0.5</v>
      </c>
      <c r="M9" s="49">
        <f>VLOOKUP($B9,Form_Playoff1aFase!$C$1:$AQ$44,12,FALSE)</f>
        <v>2</v>
      </c>
      <c r="N9" s="48" t="s">
        <v>98</v>
      </c>
      <c r="O9" s="49">
        <f>VLOOKUP($B9,Form_Playoff1aFase!$C$1:$AQ$44,13,FALSE)</f>
        <v>2</v>
      </c>
      <c r="P9" s="47" t="str">
        <f t="shared" si="3"/>
        <v>empate</v>
      </c>
      <c r="Q9" s="48">
        <f>IF(M9=PLAYOFF_1aFASE!M$24,IF(PLAYOFF_1aFASE!O$24=O9,Pesos!$M$6,IF(P9=PLAYOFF_1aFASE!P$24,Pesos!$M$3,0)),IF(P9=PLAYOFF_1aFASE!P$24,Pesos!$M$3,0))*IF(COUNTIF(P$3:P$23,P9)=1,2,1)</f>
        <v>0</v>
      </c>
      <c r="R9" s="49">
        <f>VLOOKUP($B9,Form_Playoff1aFase!$C$1:$AQ$44,17,FALSE)</f>
        <v>3</v>
      </c>
      <c r="S9" s="48" t="s">
        <v>98</v>
      </c>
      <c r="T9" s="49">
        <f>VLOOKUP($B9,Form_Playoff1aFase!$C$1:$AQ$44,18,FALSE)</f>
        <v>1</v>
      </c>
      <c r="U9" s="47" t="str">
        <f t="shared" si="4"/>
        <v>casa</v>
      </c>
      <c r="V9" s="48">
        <f>IF(R9=PLAYOFF_1aFASE!R$24,IF(PLAYOFF_1aFASE!T$24=T9,Pesos!$M$6,IF(U9=PLAYOFF_1aFASE!U$24,Pesos!$M$3,0)),IF(U9=PLAYOFF_1aFASE!U$24,Pesos!$M$3,0))*IF(COUNTIF(U$3:U$23,U9)=1,2,1)</f>
        <v>0.5</v>
      </c>
      <c r="W9" s="49">
        <f>VLOOKUP($B9,Form_Playoff1aFase!$C$1:$AQ$44,22,FALSE)</f>
        <v>0</v>
      </c>
      <c r="X9" s="48" t="s">
        <v>98</v>
      </c>
      <c r="Y9" s="49">
        <f>VLOOKUP($B9,Form_Playoff1aFase!$C$1:$AQ$44,23,FALSE)</f>
        <v>2</v>
      </c>
      <c r="Z9" s="47" t="str">
        <f t="shared" si="5"/>
        <v>visita</v>
      </c>
      <c r="AA9" s="48">
        <f>IF(W9=PLAYOFF_1aFASE!W$24,IF(PLAYOFF_1aFASE!Y$24=Y9,Pesos!$M$6,IF(Z9=PLAYOFF_1aFASE!Z$24,Pesos!$M$3,0)),IF(Z9=PLAYOFF_1aFASE!Z$24,Pesos!$M$3,0))*IF(COUNTIF(Z$3:Z$23,Z9)=1,2,1)</f>
        <v>0.5</v>
      </c>
      <c r="AB9" s="49">
        <f>VLOOKUP($B9,Form_Playoff1aFase!$C$1:$AQ$44,27,FALSE)</f>
        <v>1</v>
      </c>
      <c r="AC9" s="48" t="s">
        <v>98</v>
      </c>
      <c r="AD9" s="49">
        <f>VLOOKUP($B9,Form_Playoff1aFase!$C$1:$AQ$44,28,FALSE)</f>
        <v>1</v>
      </c>
      <c r="AE9" s="47" t="str">
        <f t="shared" si="6"/>
        <v>empate</v>
      </c>
      <c r="AF9" s="48">
        <f>IF(AB9=PLAYOFF_1aFASE!AB$24,IF(PLAYOFF_1aFASE!AD$24=AD9,Pesos!$M$6,IF(AE9=PLAYOFF_1aFASE!AE$24,Pesos!$M$3,0)),IF(AE9=PLAYOFF_1aFASE!AE$24,Pesos!$M$3,0))*IF(COUNTIF(AE$3:AE$23,AE9)=1,2,1)</f>
        <v>0.5</v>
      </c>
      <c r="AG9" s="49">
        <f>VLOOKUP($B9,Form_Playoff1aFase!$C$1:$AQ$44,32,FALSE)</f>
        <v>0</v>
      </c>
      <c r="AH9" s="48" t="s">
        <v>98</v>
      </c>
      <c r="AI9" s="49">
        <f>VLOOKUP($B9,Form_Playoff1aFase!$C$1:$AQ$44,33,FALSE)</f>
        <v>1</v>
      </c>
      <c r="AJ9" s="47" t="str">
        <f t="shared" si="7"/>
        <v>visita</v>
      </c>
      <c r="AK9" s="48">
        <f>IF(AG9=PLAYOFF_1aFASE!AG$24,IF(PLAYOFF_1aFASE!AI$24=AI9,Pesos!$M$6,IF(AJ9=PLAYOFF_1aFASE!AJ$24,Pesos!$M$3,0)),IF(AJ9=PLAYOFF_1aFASE!AJ$24,Pesos!$M$3,0))*IF(COUNTIF(AJ$3:AJ$23,AJ9)=1,2,1)</f>
        <v>0</v>
      </c>
      <c r="AL9" s="49">
        <f>VLOOKUP($B9,Form_Playoff1aFase!$C$1:$AQ$44,37,FALSE)</f>
        <v>2</v>
      </c>
      <c r="AM9" s="48" t="s">
        <v>98</v>
      </c>
      <c r="AN9" s="49">
        <f>VLOOKUP($B9,Form_Playoff1aFase!$C$1:$AQ$44,38,FALSE)</f>
        <v>0</v>
      </c>
      <c r="AO9" s="47" t="str">
        <f t="shared" si="8"/>
        <v>casa</v>
      </c>
      <c r="AP9" s="48">
        <f>IF(AL9=PLAYOFF_1aFASE!AL$24,IF(PLAYOFF_1aFASE!AN$24=AN9,Pesos!$M$6,IF(AO9=PLAYOFF_1aFASE!AO$24,Pesos!$M$3,0)),IF(AO9=PLAYOFF_1aFASE!AO$24,Pesos!$M$3,0))*IF(COUNTIF(AO$3:AO$23,AO9)=1,2,1)</f>
        <v>0</v>
      </c>
      <c r="AQ9" s="41"/>
      <c r="AR9" s="41">
        <f t="shared" si="9"/>
        <v>5</v>
      </c>
    </row>
    <row r="10" ht="14.25" customHeight="1">
      <c r="A10" s="40"/>
      <c r="B10" s="51" t="s">
        <v>5</v>
      </c>
      <c r="C10" s="46">
        <f>VLOOKUP($B10,Form_Playoff1aFase!$C$1:$AQ$44,2,FALSE)</f>
        <v>1</v>
      </c>
      <c r="D10" s="48" t="s">
        <v>98</v>
      </c>
      <c r="E10" s="46">
        <f>VLOOKUP($B10,Form_Playoff1aFase!$C$1:$AQ$44,3,FALSE)</f>
        <v>2</v>
      </c>
      <c r="F10" s="47" t="str">
        <f t="shared" si="1"/>
        <v>visita</v>
      </c>
      <c r="G10" s="48">
        <f>IF(C10=PLAYOFF_1aFASE!C$24,IF(PLAYOFF_1aFASE!E$24=E10,Pesos!$M$6,IF(F10=PLAYOFF_1aFASE!F$24,Pesos!$M$3,0)),IF(F10=PLAYOFF_1aFASE!F$24,Pesos!$M$3,0))*IF(COUNTIF(F$3:F$23,F10)=1,2,1)</f>
        <v>0.5</v>
      </c>
      <c r="H10" s="49">
        <f>VLOOKUP($B10,Form_Playoff1aFase!$C$1:$AQ$44,7,FALSE)</f>
        <v>1</v>
      </c>
      <c r="I10" s="48" t="s">
        <v>98</v>
      </c>
      <c r="J10" s="49">
        <f>VLOOKUP($B10,Form_Playoff1aFase!$C$1:$AQ$44,8,FALSE)</f>
        <v>1</v>
      </c>
      <c r="K10" s="47" t="str">
        <f t="shared" si="2"/>
        <v>empate</v>
      </c>
      <c r="L10" s="48">
        <f>IF(H10=PLAYOFF_1aFASE!H$24,IF(PLAYOFF_1aFASE!J$24=J10,Pesos!$M$6,IF(K10=PLAYOFF_1aFASE!K$24,Pesos!$M$3,0)),IF(K10=PLAYOFF_1aFASE!K$24,Pesos!$M$3,0))*IF(COUNTIF(K$3:K$23,K10)=1,2,1)</f>
        <v>0</v>
      </c>
      <c r="M10" s="49">
        <f>VLOOKUP($B10,Form_Playoff1aFase!$C$1:$AQ$44,12,FALSE)</f>
        <v>1</v>
      </c>
      <c r="N10" s="48" t="s">
        <v>98</v>
      </c>
      <c r="O10" s="49">
        <f>VLOOKUP($B10,Form_Playoff1aFase!$C$1:$AQ$44,13,FALSE)</f>
        <v>1</v>
      </c>
      <c r="P10" s="47" t="str">
        <f t="shared" si="3"/>
        <v>empate</v>
      </c>
      <c r="Q10" s="48">
        <f>IF(M10=PLAYOFF_1aFASE!M$24,IF(PLAYOFF_1aFASE!O$24=O10,Pesos!$M$6,IF(P10=PLAYOFF_1aFASE!P$24,Pesos!$M$3,0)),IF(P10=PLAYOFF_1aFASE!P$24,Pesos!$M$3,0))*IF(COUNTIF(P$3:P$23,P10)=1,2,1)</f>
        <v>0</v>
      </c>
      <c r="R10" s="49">
        <f>VLOOKUP($B10,Form_Playoff1aFase!$C$1:$AQ$44,17,FALSE)</f>
        <v>2</v>
      </c>
      <c r="S10" s="48" t="s">
        <v>98</v>
      </c>
      <c r="T10" s="49">
        <f>VLOOKUP($B10,Form_Playoff1aFase!$C$1:$AQ$44,18,FALSE)</f>
        <v>2</v>
      </c>
      <c r="U10" s="47" t="str">
        <f t="shared" si="4"/>
        <v>empate</v>
      </c>
      <c r="V10" s="48">
        <f>IF(R10=PLAYOFF_1aFASE!R$24,IF(PLAYOFF_1aFASE!T$24=T10,Pesos!$M$6,IF(U10=PLAYOFF_1aFASE!U$24,Pesos!$M$3,0)),IF(U10=PLAYOFF_1aFASE!U$24,Pesos!$M$3,0))*IF(COUNTIF(U$3:U$23,U10)=1,2,1)</f>
        <v>0</v>
      </c>
      <c r="W10" s="49">
        <f>VLOOKUP($B10,Form_Playoff1aFase!$C$1:$AQ$44,22,FALSE)</f>
        <v>1</v>
      </c>
      <c r="X10" s="48" t="s">
        <v>98</v>
      </c>
      <c r="Y10" s="49">
        <f>VLOOKUP($B10,Form_Playoff1aFase!$C$1:$AQ$44,23,FALSE)</f>
        <v>0</v>
      </c>
      <c r="Z10" s="47" t="str">
        <f t="shared" si="5"/>
        <v>casa</v>
      </c>
      <c r="AA10" s="48">
        <f>IF(W10=PLAYOFF_1aFASE!W$24,IF(PLAYOFF_1aFASE!Y$24=Y10,Pesos!$M$6,IF(Z10=PLAYOFF_1aFASE!Z$24,Pesos!$M$3,0)),IF(Z10=PLAYOFF_1aFASE!Z$24,Pesos!$M$3,0))*IF(COUNTIF(Z$3:Z$23,Z10)=1,2,1)</f>
        <v>0</v>
      </c>
      <c r="AB10" s="49">
        <f>VLOOKUP($B10,Form_Playoff1aFase!$C$1:$AQ$44,27,FALSE)</f>
        <v>1</v>
      </c>
      <c r="AC10" s="48" t="s">
        <v>98</v>
      </c>
      <c r="AD10" s="49">
        <f>VLOOKUP($B10,Form_Playoff1aFase!$C$1:$AQ$44,28,FALSE)</f>
        <v>0</v>
      </c>
      <c r="AE10" s="47" t="str">
        <f t="shared" si="6"/>
        <v>casa</v>
      </c>
      <c r="AF10" s="48">
        <f>IF(AB10=PLAYOFF_1aFASE!AB$24,IF(PLAYOFF_1aFASE!AD$24=AD10,Pesos!$M$6,IF(AE10=PLAYOFF_1aFASE!AE$24,Pesos!$M$3,0)),IF(AE10=PLAYOFF_1aFASE!AE$24,Pesos!$M$3,0))*IF(COUNTIF(AE$3:AE$23,AE10)=1,2,1)</f>
        <v>0</v>
      </c>
      <c r="AG10" s="49">
        <f>VLOOKUP($B10,Form_Playoff1aFase!$C$1:$AQ$44,32,FALSE)</f>
        <v>0</v>
      </c>
      <c r="AH10" s="48" t="s">
        <v>98</v>
      </c>
      <c r="AI10" s="49">
        <f>VLOOKUP($B10,Form_Playoff1aFase!$C$1:$AQ$44,33,FALSE)</f>
        <v>2</v>
      </c>
      <c r="AJ10" s="47" t="str">
        <f t="shared" si="7"/>
        <v>visita</v>
      </c>
      <c r="AK10" s="48">
        <f>IF(AG10=PLAYOFF_1aFASE!AG$24,IF(PLAYOFF_1aFASE!AI$24=AI10,Pesos!$M$6,IF(AJ10=PLAYOFF_1aFASE!AJ$24,Pesos!$M$3,0)),IF(AJ10=PLAYOFF_1aFASE!AJ$24,Pesos!$M$3,0))*IF(COUNTIF(AJ$3:AJ$23,AJ10)=1,2,1)</f>
        <v>0</v>
      </c>
      <c r="AL10" s="49">
        <f>VLOOKUP($B10,Form_Playoff1aFase!$C$1:$AQ$44,37,FALSE)</f>
        <v>1</v>
      </c>
      <c r="AM10" s="48" t="s">
        <v>98</v>
      </c>
      <c r="AN10" s="49">
        <f>VLOOKUP($B10,Form_Playoff1aFase!$C$1:$AQ$44,38,FALSE)</f>
        <v>3</v>
      </c>
      <c r="AO10" s="47" t="str">
        <f t="shared" si="8"/>
        <v>visita</v>
      </c>
      <c r="AP10" s="48">
        <f>IF(AL10=PLAYOFF_1aFASE!AL$24,IF(PLAYOFF_1aFASE!AN$24=AN10,Pesos!$M$6,IF(AO10=PLAYOFF_1aFASE!AO$24,Pesos!$M$3,0)),IF(AO10=PLAYOFF_1aFASE!AO$24,Pesos!$M$3,0))*IF(COUNTIF(AO$3:AO$23,AO10)=1,2,1)</f>
        <v>0.5</v>
      </c>
      <c r="AQ10" s="41"/>
      <c r="AR10" s="41">
        <f t="shared" si="9"/>
        <v>2</v>
      </c>
    </row>
    <row r="11" ht="14.25" customHeight="1">
      <c r="A11" s="40"/>
      <c r="B11" s="51" t="s">
        <v>4</v>
      </c>
      <c r="C11" s="46">
        <f>VLOOKUP($B11,Form_Playoff1aFase!$C$1:$AQ$44,2,FALSE)</f>
        <v>1</v>
      </c>
      <c r="D11" s="9" t="s">
        <v>98</v>
      </c>
      <c r="E11" s="46">
        <f>VLOOKUP($B11,Form_Playoff1aFase!$C$1:$AQ$44,3,FALSE)</f>
        <v>2</v>
      </c>
      <c r="F11" s="47" t="str">
        <f t="shared" si="1"/>
        <v>visita</v>
      </c>
      <c r="G11" s="48">
        <f>IF(C11=PLAYOFF_1aFASE!C$24,IF(PLAYOFF_1aFASE!E$24=E11,Pesos!$M$6,IF(F11=PLAYOFF_1aFASE!F$24,Pesos!$M$3,0)),IF(F11=PLAYOFF_1aFASE!F$24,Pesos!$M$3,0))*IF(COUNTIF(F$3:F$23,F11)=1,2,1)</f>
        <v>0.5</v>
      </c>
      <c r="H11" s="49">
        <f>VLOOKUP($B11,Form_Playoff1aFase!$C$1:$AQ$44,7,FALSE)</f>
        <v>2</v>
      </c>
      <c r="I11" s="9" t="s">
        <v>98</v>
      </c>
      <c r="J11" s="49">
        <f>VLOOKUP($B11,Form_Playoff1aFase!$C$1:$AQ$44,8,FALSE)</f>
        <v>0</v>
      </c>
      <c r="K11" s="47" t="str">
        <f t="shared" si="2"/>
        <v>casa</v>
      </c>
      <c r="L11" s="48">
        <f>IF(H11=PLAYOFF_1aFASE!H$24,IF(PLAYOFF_1aFASE!J$24=J11,Pesos!$M$6,IF(K11=PLAYOFF_1aFASE!K$24,Pesos!$M$3,0)),IF(K11=PLAYOFF_1aFASE!K$24,Pesos!$M$3,0))*IF(COUNTIF(K$3:K$23,K11)=1,2,1)</f>
        <v>0.5</v>
      </c>
      <c r="M11" s="49">
        <f>VLOOKUP($B11,Form_Playoff1aFase!$C$1:$AQ$44,12,FALSE)</f>
        <v>0</v>
      </c>
      <c r="N11" s="9" t="s">
        <v>98</v>
      </c>
      <c r="O11" s="49">
        <f>VLOOKUP($B11,Form_Playoff1aFase!$C$1:$AQ$44,13,FALSE)</f>
        <v>1</v>
      </c>
      <c r="P11" s="47" t="str">
        <f t="shared" si="3"/>
        <v>visita</v>
      </c>
      <c r="Q11" s="48">
        <f>IF(M11=PLAYOFF_1aFASE!M$24,IF(PLAYOFF_1aFASE!O$24=O11,Pesos!$M$6,IF(P11=PLAYOFF_1aFASE!P$24,Pesos!$M$3,0)),IF(P11=PLAYOFF_1aFASE!P$24,Pesos!$M$3,0))*IF(COUNTIF(P$3:P$23,P11)=1,2,1)</f>
        <v>3</v>
      </c>
      <c r="R11" s="49">
        <f>VLOOKUP($B11,Form_Playoff1aFase!$C$1:$AQ$44,17,FALSE)</f>
        <v>2</v>
      </c>
      <c r="S11" s="9" t="s">
        <v>98</v>
      </c>
      <c r="T11" s="49">
        <f>VLOOKUP($B11,Form_Playoff1aFase!$C$1:$AQ$44,18,FALSE)</f>
        <v>0</v>
      </c>
      <c r="U11" s="47" t="str">
        <f t="shared" si="4"/>
        <v>casa</v>
      </c>
      <c r="V11" s="48">
        <f>IF(R11=PLAYOFF_1aFASE!R$24,IF(PLAYOFF_1aFASE!T$24=T11,Pesos!$M$6,IF(U11=PLAYOFF_1aFASE!U$24,Pesos!$M$3,0)),IF(U11=PLAYOFF_1aFASE!U$24,Pesos!$M$3,0))*IF(COUNTIF(U$3:U$23,U11)=1,2,1)</f>
        <v>3</v>
      </c>
      <c r="W11" s="49">
        <f>VLOOKUP($B11,Form_Playoff1aFase!$C$1:$AQ$44,22,FALSE)</f>
        <v>1</v>
      </c>
      <c r="X11" s="9" t="s">
        <v>98</v>
      </c>
      <c r="Y11" s="49">
        <f>VLOOKUP($B11,Form_Playoff1aFase!$C$1:$AQ$44,23,FALSE)</f>
        <v>1</v>
      </c>
      <c r="Z11" s="47" t="str">
        <f t="shared" si="5"/>
        <v>empate</v>
      </c>
      <c r="AA11" s="48">
        <f>IF(W11=PLAYOFF_1aFASE!W$24,IF(PLAYOFF_1aFASE!Y$24=Y11,Pesos!$M$6,IF(Z11=PLAYOFF_1aFASE!Z$24,Pesos!$M$3,0)),IF(Z11=PLAYOFF_1aFASE!Z$24,Pesos!$M$3,0))*IF(COUNTIF(Z$3:Z$23,Z11)=1,2,1)</f>
        <v>0</v>
      </c>
      <c r="AB11" s="49">
        <f>VLOOKUP($B11,Form_Playoff1aFase!$C$1:$AQ$44,27,FALSE)</f>
        <v>1</v>
      </c>
      <c r="AC11" s="9" t="s">
        <v>98</v>
      </c>
      <c r="AD11" s="49">
        <f>VLOOKUP($B11,Form_Playoff1aFase!$C$1:$AQ$44,28,FALSE)</f>
        <v>1</v>
      </c>
      <c r="AE11" s="47" t="str">
        <f t="shared" si="6"/>
        <v>empate</v>
      </c>
      <c r="AF11" s="48">
        <f>IF(AB11=PLAYOFF_1aFASE!AB$24,IF(PLAYOFF_1aFASE!AD$24=AD11,Pesos!$M$6,IF(AE11=PLAYOFF_1aFASE!AE$24,Pesos!$M$3,0)),IF(AE11=PLAYOFF_1aFASE!AE$24,Pesos!$M$3,0))*IF(COUNTIF(AE$3:AE$23,AE11)=1,2,1)</f>
        <v>0.5</v>
      </c>
      <c r="AG11" s="49">
        <f>VLOOKUP($B11,Form_Playoff1aFase!$C$1:$AQ$44,32,FALSE)</f>
        <v>1</v>
      </c>
      <c r="AH11" s="9" t="s">
        <v>98</v>
      </c>
      <c r="AI11" s="49">
        <f>VLOOKUP($B11,Form_Playoff1aFase!$C$1:$AQ$44,33,FALSE)</f>
        <v>1</v>
      </c>
      <c r="AJ11" s="47" t="str">
        <f t="shared" si="7"/>
        <v>empate</v>
      </c>
      <c r="AK11" s="48">
        <f>IF(AG11=PLAYOFF_1aFASE!AG$24,IF(PLAYOFF_1aFASE!AI$24=AI11,Pesos!$M$6,IF(AJ11=PLAYOFF_1aFASE!AJ$24,Pesos!$M$3,0)),IF(AJ11=PLAYOFF_1aFASE!AJ$24,Pesos!$M$3,0))*IF(COUNTIF(AJ$3:AJ$23,AJ11)=1,2,1)</f>
        <v>0</v>
      </c>
      <c r="AL11" s="49">
        <f>VLOOKUP($B11,Form_Playoff1aFase!$C$1:$AQ$44,37,FALSE)</f>
        <v>1</v>
      </c>
      <c r="AM11" s="9" t="s">
        <v>98</v>
      </c>
      <c r="AN11" s="49">
        <f>VLOOKUP($B11,Form_Playoff1aFase!$C$1:$AQ$44,38,FALSE)</f>
        <v>0</v>
      </c>
      <c r="AO11" s="47" t="str">
        <f t="shared" si="8"/>
        <v>casa</v>
      </c>
      <c r="AP11" s="48">
        <f>IF(AL11=PLAYOFF_1aFASE!AL$24,IF(PLAYOFF_1aFASE!AN$24=AN11,Pesos!$M$6,IF(AO11=PLAYOFF_1aFASE!AO$24,Pesos!$M$3,0)),IF(AO11=PLAYOFF_1aFASE!AO$24,Pesos!$M$3,0))*IF(COUNTIF(AO$3:AO$23,AO11)=1,2,1)</f>
        <v>0</v>
      </c>
      <c r="AQ11" s="41"/>
      <c r="AR11" s="41">
        <f t="shared" si="9"/>
        <v>5</v>
      </c>
    </row>
    <row r="12" ht="14.25" customHeight="1">
      <c r="A12" s="40"/>
      <c r="B12" s="51" t="s">
        <v>18</v>
      </c>
      <c r="C12" s="46">
        <f>VLOOKUP($B12,Form_Playoff1aFase!$C$1:$AQ$44,2,FALSE)</f>
        <v>0</v>
      </c>
      <c r="D12" s="9" t="s">
        <v>98</v>
      </c>
      <c r="E12" s="46">
        <f>VLOOKUP($B12,Form_Playoff1aFase!$C$1:$AQ$44,3,FALSE)</f>
        <v>2</v>
      </c>
      <c r="F12" s="47" t="str">
        <f t="shared" si="1"/>
        <v>visita</v>
      </c>
      <c r="G12" s="48">
        <f>IF(C12=PLAYOFF_1aFASE!C$24,IF(PLAYOFF_1aFASE!E$24=E12,Pesos!$M$6,IF(F12=PLAYOFF_1aFASE!F$24,Pesos!$M$3,0)),IF(F12=PLAYOFF_1aFASE!F$24,Pesos!$M$3,0))*IF(COUNTIF(F$3:F$23,F12)=1,2,1)</f>
        <v>0.5</v>
      </c>
      <c r="H12" s="49">
        <f>VLOOKUP($B12,Form_Playoff1aFase!$C$1:$AQ$44,7,FALSE)</f>
        <v>1</v>
      </c>
      <c r="I12" s="9" t="s">
        <v>98</v>
      </c>
      <c r="J12" s="49">
        <f>VLOOKUP($B12,Form_Playoff1aFase!$C$1:$AQ$44,8,FALSE)</f>
        <v>0</v>
      </c>
      <c r="K12" s="47" t="str">
        <f t="shared" si="2"/>
        <v>casa</v>
      </c>
      <c r="L12" s="48">
        <f>IF(H12=PLAYOFF_1aFASE!H$24,IF(PLAYOFF_1aFASE!J$24=J12,Pesos!$M$6,IF(K12=PLAYOFF_1aFASE!K$24,Pesos!$M$3,0)),IF(K12=PLAYOFF_1aFASE!K$24,Pesos!$M$3,0))*IF(COUNTIF(K$3:K$23,K12)=1,2,1)</f>
        <v>0.5</v>
      </c>
      <c r="M12" s="49">
        <f>VLOOKUP($B12,Form_Playoff1aFase!$C$1:$AQ$44,12,FALSE)</f>
        <v>1</v>
      </c>
      <c r="N12" s="9" t="s">
        <v>98</v>
      </c>
      <c r="O12" s="49">
        <f>VLOOKUP($B12,Form_Playoff1aFase!$C$1:$AQ$44,13,FALSE)</f>
        <v>0</v>
      </c>
      <c r="P12" s="47" t="str">
        <f t="shared" si="3"/>
        <v>casa</v>
      </c>
      <c r="Q12" s="48">
        <f>IF(M12=PLAYOFF_1aFASE!M$24,IF(PLAYOFF_1aFASE!O$24=O12,Pesos!$M$6,IF(P12=PLAYOFF_1aFASE!P$24,Pesos!$M$3,0)),IF(P12=PLAYOFF_1aFASE!P$24,Pesos!$M$3,0))*IF(COUNTIF(P$3:P$23,P12)=1,2,1)</f>
        <v>0</v>
      </c>
      <c r="R12" s="49">
        <f>VLOOKUP($B12,Form_Playoff1aFase!$C$1:$AQ$44,17,FALSE)</f>
        <v>1</v>
      </c>
      <c r="S12" s="9" t="s">
        <v>98</v>
      </c>
      <c r="T12" s="49">
        <f>VLOOKUP($B12,Form_Playoff1aFase!$C$1:$AQ$44,18,FALSE)</f>
        <v>0</v>
      </c>
      <c r="U12" s="47" t="str">
        <f t="shared" si="4"/>
        <v>casa</v>
      </c>
      <c r="V12" s="48">
        <f>IF(R12=PLAYOFF_1aFASE!R$24,IF(PLAYOFF_1aFASE!T$24=T12,Pesos!$M$6,IF(U12=PLAYOFF_1aFASE!U$24,Pesos!$M$3,0)),IF(U12=PLAYOFF_1aFASE!U$24,Pesos!$M$3,0))*IF(COUNTIF(U$3:U$23,U12)=1,2,1)</f>
        <v>0.5</v>
      </c>
      <c r="W12" s="49">
        <f>VLOOKUP($B12,Form_Playoff1aFase!$C$1:$AQ$44,22,FALSE)</f>
        <v>1</v>
      </c>
      <c r="X12" s="9" t="s">
        <v>98</v>
      </c>
      <c r="Y12" s="49">
        <f>VLOOKUP($B12,Form_Playoff1aFase!$C$1:$AQ$44,23,FALSE)</f>
        <v>2</v>
      </c>
      <c r="Z12" s="47" t="str">
        <f t="shared" si="5"/>
        <v>visita</v>
      </c>
      <c r="AA12" s="48">
        <f>IF(W12=PLAYOFF_1aFASE!W$24,IF(PLAYOFF_1aFASE!Y$24=Y12,Pesos!$M$6,IF(Z12=PLAYOFF_1aFASE!Z$24,Pesos!$M$3,0)),IF(Z12=PLAYOFF_1aFASE!Z$24,Pesos!$M$3,0))*IF(COUNTIF(Z$3:Z$23,Z12)=1,2,1)</f>
        <v>0.5</v>
      </c>
      <c r="AB12" s="49">
        <f>VLOOKUP($B12,Form_Playoff1aFase!$C$1:$AQ$44,27,FALSE)</f>
        <v>1</v>
      </c>
      <c r="AC12" s="9" t="s">
        <v>98</v>
      </c>
      <c r="AD12" s="49">
        <f>VLOOKUP($B12,Form_Playoff1aFase!$C$1:$AQ$44,28,FALSE)</f>
        <v>1</v>
      </c>
      <c r="AE12" s="47" t="str">
        <f t="shared" si="6"/>
        <v>empate</v>
      </c>
      <c r="AF12" s="48">
        <f>IF(AB12=PLAYOFF_1aFASE!AB$24,IF(PLAYOFF_1aFASE!AD$24=AD12,Pesos!$M$6,IF(AE12=PLAYOFF_1aFASE!AE$24,Pesos!$M$3,0)),IF(AE12=PLAYOFF_1aFASE!AE$24,Pesos!$M$3,0))*IF(COUNTIF(AE$3:AE$23,AE12)=1,2,1)</f>
        <v>0.5</v>
      </c>
      <c r="AG12" s="49">
        <f>VLOOKUP($B12,Form_Playoff1aFase!$C$1:$AQ$44,32,FALSE)</f>
        <v>0</v>
      </c>
      <c r="AH12" s="9" t="s">
        <v>98</v>
      </c>
      <c r="AI12" s="49">
        <f>VLOOKUP($B12,Form_Playoff1aFase!$C$1:$AQ$44,33,FALSE)</f>
        <v>1</v>
      </c>
      <c r="AJ12" s="47" t="str">
        <f t="shared" si="7"/>
        <v>visita</v>
      </c>
      <c r="AK12" s="48">
        <f>IF(AG12=PLAYOFF_1aFASE!AG$24,IF(PLAYOFF_1aFASE!AI$24=AI12,Pesos!$M$6,IF(AJ12=PLAYOFF_1aFASE!AJ$24,Pesos!$M$3,0)),IF(AJ12=PLAYOFF_1aFASE!AJ$24,Pesos!$M$3,0))*IF(COUNTIF(AJ$3:AJ$23,AJ12)=1,2,1)</f>
        <v>0</v>
      </c>
      <c r="AL12" s="49">
        <f>VLOOKUP($B12,Form_Playoff1aFase!$C$1:$AQ$44,37,FALSE)</f>
        <v>1</v>
      </c>
      <c r="AM12" s="9" t="s">
        <v>98</v>
      </c>
      <c r="AN12" s="49">
        <f>VLOOKUP($B12,Form_Playoff1aFase!$C$1:$AQ$44,38,FALSE)</f>
        <v>1</v>
      </c>
      <c r="AO12" s="47" t="str">
        <f t="shared" si="8"/>
        <v>empate</v>
      </c>
      <c r="AP12" s="48">
        <f>IF(AL12=PLAYOFF_1aFASE!AL$24,IF(PLAYOFF_1aFASE!AN$24=AN12,Pesos!$M$6,IF(AO12=PLAYOFF_1aFASE!AO$24,Pesos!$M$3,0)),IF(AO12=PLAYOFF_1aFASE!AO$24,Pesos!$M$3,0))*IF(COUNTIF(AO$3:AO$23,AO12)=1,2,1)</f>
        <v>0</v>
      </c>
      <c r="AQ12" s="41"/>
      <c r="AR12" s="41">
        <f t="shared" si="9"/>
        <v>5</v>
      </c>
    </row>
    <row r="13" ht="14.25" customHeight="1">
      <c r="A13" s="40"/>
      <c r="B13" s="51" t="s">
        <v>2</v>
      </c>
      <c r="C13" s="46">
        <f>VLOOKUP($B13,Form_Playoff1aFase!$C$1:$AQ$44,2,FALSE)</f>
        <v>1</v>
      </c>
      <c r="D13" s="9" t="s">
        <v>98</v>
      </c>
      <c r="E13" s="46">
        <f>VLOOKUP($B13,Form_Playoff1aFase!$C$1:$AQ$44,3,FALSE)</f>
        <v>2</v>
      </c>
      <c r="F13" s="47" t="str">
        <f t="shared" si="1"/>
        <v>visita</v>
      </c>
      <c r="G13" s="48">
        <f>IF(C13=PLAYOFF_1aFASE!C$24,IF(PLAYOFF_1aFASE!E$24=E13,Pesos!$M$6,IF(F13=PLAYOFF_1aFASE!F$24,Pesos!$M$3,0)),IF(F13=PLAYOFF_1aFASE!F$24,Pesos!$M$3,0))*IF(COUNTIF(F$3:F$23,F13)=1,2,1)</f>
        <v>0.5</v>
      </c>
      <c r="H13" s="49">
        <f>VLOOKUP($B13,Form_Playoff1aFase!$C$1:$AQ$44,7,FALSE)</f>
        <v>2</v>
      </c>
      <c r="I13" s="9" t="s">
        <v>98</v>
      </c>
      <c r="J13" s="49">
        <f>VLOOKUP($B13,Form_Playoff1aFase!$C$1:$AQ$44,8,FALSE)</f>
        <v>1</v>
      </c>
      <c r="K13" s="47" t="str">
        <f t="shared" si="2"/>
        <v>casa</v>
      </c>
      <c r="L13" s="48">
        <f>IF(H13=PLAYOFF_1aFASE!H$24,IF(PLAYOFF_1aFASE!J$24=J13,Pesos!$M$6,IF(K13=PLAYOFF_1aFASE!K$24,Pesos!$M$3,0)),IF(K13=PLAYOFF_1aFASE!K$24,Pesos!$M$3,0))*IF(COUNTIF(K$3:K$23,K13)=1,2,1)</f>
        <v>0.5</v>
      </c>
      <c r="M13" s="49">
        <f>VLOOKUP($B13,Form_Playoff1aFase!$C$1:$AQ$44,12,FALSE)</f>
        <v>1</v>
      </c>
      <c r="N13" s="9" t="s">
        <v>98</v>
      </c>
      <c r="O13" s="49">
        <f>VLOOKUP($B13,Form_Playoff1aFase!$C$1:$AQ$44,13,FALSE)</f>
        <v>1</v>
      </c>
      <c r="P13" s="47" t="str">
        <f t="shared" si="3"/>
        <v>empate</v>
      </c>
      <c r="Q13" s="48">
        <f>IF(M13=PLAYOFF_1aFASE!M$24,IF(PLAYOFF_1aFASE!O$24=O13,Pesos!$M$6,IF(P13=PLAYOFF_1aFASE!P$24,Pesos!$M$3,0)),IF(P13=PLAYOFF_1aFASE!P$24,Pesos!$M$3,0))*IF(COUNTIF(P$3:P$23,P13)=1,2,1)</f>
        <v>0</v>
      </c>
      <c r="R13" s="49">
        <f>VLOOKUP($B13,Form_Playoff1aFase!$C$1:$AQ$44,17,FALSE)</f>
        <v>1</v>
      </c>
      <c r="S13" s="9" t="s">
        <v>98</v>
      </c>
      <c r="T13" s="49">
        <f>VLOOKUP($B13,Form_Playoff1aFase!$C$1:$AQ$44,18,FALSE)</f>
        <v>2</v>
      </c>
      <c r="U13" s="47" t="str">
        <f t="shared" si="4"/>
        <v>visita</v>
      </c>
      <c r="V13" s="48">
        <f>IF(R13=PLAYOFF_1aFASE!R$24,IF(PLAYOFF_1aFASE!T$24=T13,Pesos!$M$6,IF(U13=PLAYOFF_1aFASE!U$24,Pesos!$M$3,0)),IF(U13=PLAYOFF_1aFASE!U$24,Pesos!$M$3,0))*IF(COUNTIF(U$3:U$23,U13)=1,2,1)</f>
        <v>0</v>
      </c>
      <c r="W13" s="49">
        <f>VLOOKUP($B13,Form_Playoff1aFase!$C$1:$AQ$44,22,FALSE)</f>
        <v>1</v>
      </c>
      <c r="X13" s="9" t="s">
        <v>98</v>
      </c>
      <c r="Y13" s="49">
        <f>VLOOKUP($B13,Form_Playoff1aFase!$C$1:$AQ$44,23,FALSE)</f>
        <v>1</v>
      </c>
      <c r="Z13" s="47" t="str">
        <f t="shared" si="5"/>
        <v>empate</v>
      </c>
      <c r="AA13" s="48">
        <f>IF(W13=PLAYOFF_1aFASE!W$24,IF(PLAYOFF_1aFASE!Y$24=Y13,Pesos!$M$6,IF(Z13=PLAYOFF_1aFASE!Z$24,Pesos!$M$3,0)),IF(Z13=PLAYOFF_1aFASE!Z$24,Pesos!$M$3,0))*IF(COUNTIF(Z$3:Z$23,Z13)=1,2,1)</f>
        <v>0</v>
      </c>
      <c r="AB13" s="49">
        <f>VLOOKUP($B13,Form_Playoff1aFase!$C$1:$AQ$44,27,FALSE)</f>
        <v>1</v>
      </c>
      <c r="AC13" s="9" t="s">
        <v>98</v>
      </c>
      <c r="AD13" s="49">
        <f>VLOOKUP($B13,Form_Playoff1aFase!$C$1:$AQ$44,28,FALSE)</f>
        <v>1</v>
      </c>
      <c r="AE13" s="47" t="str">
        <f t="shared" si="6"/>
        <v>empate</v>
      </c>
      <c r="AF13" s="48">
        <f>IF(AB13=PLAYOFF_1aFASE!AB$24,IF(PLAYOFF_1aFASE!AD$24=AD13,Pesos!$M$6,IF(AE13=PLAYOFF_1aFASE!AE$24,Pesos!$M$3,0)),IF(AE13=PLAYOFF_1aFASE!AE$24,Pesos!$M$3,0))*IF(COUNTIF(AE$3:AE$23,AE13)=1,2,1)</f>
        <v>0.5</v>
      </c>
      <c r="AG13" s="49">
        <f>VLOOKUP($B13,Form_Playoff1aFase!$C$1:$AQ$44,32,FALSE)</f>
        <v>1</v>
      </c>
      <c r="AH13" s="9" t="s">
        <v>98</v>
      </c>
      <c r="AI13" s="49">
        <f>VLOOKUP($B13,Form_Playoff1aFase!$C$1:$AQ$44,33,FALSE)</f>
        <v>1</v>
      </c>
      <c r="AJ13" s="47" t="str">
        <f t="shared" si="7"/>
        <v>empate</v>
      </c>
      <c r="AK13" s="48">
        <f>IF(AG13=PLAYOFF_1aFASE!AG$24,IF(PLAYOFF_1aFASE!AI$24=AI13,Pesos!$M$6,IF(AJ13=PLAYOFF_1aFASE!AJ$24,Pesos!$M$3,0)),IF(AJ13=PLAYOFF_1aFASE!AJ$24,Pesos!$M$3,0))*IF(COUNTIF(AJ$3:AJ$23,AJ13)=1,2,1)</f>
        <v>0</v>
      </c>
      <c r="AL13" s="49">
        <f>VLOOKUP($B13,Form_Playoff1aFase!$C$1:$AQ$44,37,FALSE)</f>
        <v>1</v>
      </c>
      <c r="AM13" s="9" t="s">
        <v>98</v>
      </c>
      <c r="AN13" s="49">
        <f>VLOOKUP($B13,Form_Playoff1aFase!$C$1:$AQ$44,38,FALSE)</f>
        <v>0</v>
      </c>
      <c r="AO13" s="47" t="str">
        <f t="shared" si="8"/>
        <v>casa</v>
      </c>
      <c r="AP13" s="48">
        <f>IF(AL13=PLAYOFF_1aFASE!AL$24,IF(PLAYOFF_1aFASE!AN$24=AN13,Pesos!$M$6,IF(AO13=PLAYOFF_1aFASE!AO$24,Pesos!$M$3,0)),IF(AO13=PLAYOFF_1aFASE!AO$24,Pesos!$M$3,0))*IF(COUNTIF(AO$3:AO$23,AO13)=1,2,1)</f>
        <v>0</v>
      </c>
      <c r="AQ13" s="41"/>
      <c r="AR13" s="41">
        <f t="shared" si="9"/>
        <v>3</v>
      </c>
    </row>
    <row r="14" ht="14.25" customHeight="1">
      <c r="A14" s="40"/>
      <c r="B14" s="51" t="s">
        <v>15</v>
      </c>
      <c r="C14" s="46">
        <f>VLOOKUP($B14,Form_Playoff1aFase!$C$1:$AQ$44,2,FALSE)</f>
        <v>1</v>
      </c>
      <c r="D14" s="9" t="s">
        <v>98</v>
      </c>
      <c r="E14" s="46">
        <f>VLOOKUP($B14,Form_Playoff1aFase!$C$1:$AQ$44,3,FALSE)</f>
        <v>3</v>
      </c>
      <c r="F14" s="47" t="str">
        <f t="shared" si="1"/>
        <v>visita</v>
      </c>
      <c r="G14" s="48">
        <f>IF(C14=PLAYOFF_1aFASE!C$24,IF(PLAYOFF_1aFASE!E$24=E14,Pesos!$M$6,IF(F14=PLAYOFF_1aFASE!F$24,Pesos!$M$3,0)),IF(F14=PLAYOFF_1aFASE!F$24,Pesos!$M$3,0))*IF(COUNTIF(F$3:F$23,F14)=1,2,1)</f>
        <v>0.5</v>
      </c>
      <c r="H14" s="49">
        <f>VLOOKUP($B14,Form_Playoff1aFase!$C$1:$AQ$44,7,FALSE)</f>
        <v>2</v>
      </c>
      <c r="I14" s="9" t="s">
        <v>98</v>
      </c>
      <c r="J14" s="49">
        <f>VLOOKUP($B14,Form_Playoff1aFase!$C$1:$AQ$44,8,FALSE)</f>
        <v>1</v>
      </c>
      <c r="K14" s="47" t="str">
        <f t="shared" si="2"/>
        <v>casa</v>
      </c>
      <c r="L14" s="48">
        <f>IF(H14=PLAYOFF_1aFASE!H$24,IF(PLAYOFF_1aFASE!J$24=J14,Pesos!$M$6,IF(K14=PLAYOFF_1aFASE!K$24,Pesos!$M$3,0)),IF(K14=PLAYOFF_1aFASE!K$24,Pesos!$M$3,0))*IF(COUNTIF(K$3:K$23,K14)=1,2,1)</f>
        <v>0.5</v>
      </c>
      <c r="M14" s="49">
        <f>VLOOKUP($B14,Form_Playoff1aFase!$C$1:$AQ$44,12,FALSE)</f>
        <v>1</v>
      </c>
      <c r="N14" s="9" t="s">
        <v>98</v>
      </c>
      <c r="O14" s="49">
        <f>VLOOKUP($B14,Form_Playoff1aFase!$C$1:$AQ$44,13,FALSE)</f>
        <v>3</v>
      </c>
      <c r="P14" s="47" t="str">
        <f t="shared" si="3"/>
        <v>visita</v>
      </c>
      <c r="Q14" s="48">
        <f>IF(M14=PLAYOFF_1aFASE!M$24,IF(PLAYOFF_1aFASE!O$24=O14,Pesos!$M$6,IF(P14=PLAYOFF_1aFASE!P$24,Pesos!$M$3,0)),IF(P14=PLAYOFF_1aFASE!P$24,Pesos!$M$3,0))*IF(COUNTIF(P$3:P$23,P14)=1,2,1)</f>
        <v>0.5</v>
      </c>
      <c r="R14" s="49">
        <f>VLOOKUP($B14,Form_Playoff1aFase!$C$1:$AQ$44,17,FALSE)</f>
        <v>2</v>
      </c>
      <c r="S14" s="9" t="s">
        <v>98</v>
      </c>
      <c r="T14" s="49">
        <f>VLOOKUP($B14,Form_Playoff1aFase!$C$1:$AQ$44,18,FALSE)</f>
        <v>1</v>
      </c>
      <c r="U14" s="47" t="str">
        <f t="shared" si="4"/>
        <v>casa</v>
      </c>
      <c r="V14" s="48">
        <f>IF(R14=PLAYOFF_1aFASE!R$24,IF(PLAYOFF_1aFASE!T$24=T14,Pesos!$M$6,IF(U14=PLAYOFF_1aFASE!U$24,Pesos!$M$3,0)),IF(U14=PLAYOFF_1aFASE!U$24,Pesos!$M$3,0))*IF(COUNTIF(U$3:U$23,U14)=1,2,1)</f>
        <v>0.5</v>
      </c>
      <c r="W14" s="49">
        <f>VLOOKUP($B14,Form_Playoff1aFase!$C$1:$AQ$44,22,FALSE)</f>
        <v>1</v>
      </c>
      <c r="X14" s="9" t="s">
        <v>98</v>
      </c>
      <c r="Y14" s="49">
        <f>VLOOKUP($B14,Form_Playoff1aFase!$C$1:$AQ$44,23,FALSE)</f>
        <v>2</v>
      </c>
      <c r="Z14" s="47" t="str">
        <f t="shared" si="5"/>
        <v>visita</v>
      </c>
      <c r="AA14" s="48">
        <f>IF(W14=PLAYOFF_1aFASE!W$24,IF(PLAYOFF_1aFASE!Y$24=Y14,Pesos!$M$6,IF(Z14=PLAYOFF_1aFASE!Z$24,Pesos!$M$3,0)),IF(Z14=PLAYOFF_1aFASE!Z$24,Pesos!$M$3,0))*IF(COUNTIF(Z$3:Z$23,Z14)=1,2,1)</f>
        <v>0.5</v>
      </c>
      <c r="AB14" s="49">
        <f>VLOOKUP($B14,Form_Playoff1aFase!$C$1:$AQ$44,27,FALSE)</f>
        <v>1</v>
      </c>
      <c r="AC14" s="9" t="s">
        <v>98</v>
      </c>
      <c r="AD14" s="49">
        <f>VLOOKUP($B14,Form_Playoff1aFase!$C$1:$AQ$44,28,FALSE)</f>
        <v>1</v>
      </c>
      <c r="AE14" s="47" t="str">
        <f t="shared" si="6"/>
        <v>empate</v>
      </c>
      <c r="AF14" s="48">
        <f>IF(AB14=PLAYOFF_1aFASE!AB$24,IF(PLAYOFF_1aFASE!AD$24=AD14,Pesos!$M$6,IF(AE14=PLAYOFF_1aFASE!AE$24,Pesos!$M$3,0)),IF(AE14=PLAYOFF_1aFASE!AE$24,Pesos!$M$3,0))*IF(COUNTIF(AE$3:AE$23,AE14)=1,2,1)</f>
        <v>0.5</v>
      </c>
      <c r="AG14" s="49">
        <f>VLOOKUP($B14,Form_Playoff1aFase!$C$1:$AQ$44,32,FALSE)</f>
        <v>0</v>
      </c>
      <c r="AH14" s="9" t="s">
        <v>98</v>
      </c>
      <c r="AI14" s="49">
        <f>VLOOKUP($B14,Form_Playoff1aFase!$C$1:$AQ$44,33,FALSE)</f>
        <v>2</v>
      </c>
      <c r="AJ14" s="47" t="str">
        <f t="shared" si="7"/>
        <v>visita</v>
      </c>
      <c r="AK14" s="48">
        <f>IF(AG14=PLAYOFF_1aFASE!AG$24,IF(PLAYOFF_1aFASE!AI$24=AI14,Pesos!$M$6,IF(AJ14=PLAYOFF_1aFASE!AJ$24,Pesos!$M$3,0)),IF(AJ14=PLAYOFF_1aFASE!AJ$24,Pesos!$M$3,0))*IF(COUNTIF(AJ$3:AJ$23,AJ14)=1,2,1)</f>
        <v>0</v>
      </c>
      <c r="AL14" s="49">
        <f>VLOOKUP($B14,Form_Playoff1aFase!$C$1:$AQ$44,37,FALSE)</f>
        <v>1</v>
      </c>
      <c r="AM14" s="9" t="s">
        <v>98</v>
      </c>
      <c r="AN14" s="49">
        <f>VLOOKUP($B14,Form_Playoff1aFase!$C$1:$AQ$44,38,FALSE)</f>
        <v>1</v>
      </c>
      <c r="AO14" s="47" t="str">
        <f t="shared" si="8"/>
        <v>empate</v>
      </c>
      <c r="AP14" s="48">
        <f>IF(AL14=PLAYOFF_1aFASE!AL$24,IF(PLAYOFF_1aFASE!AN$24=AN14,Pesos!$M$6,IF(AO14=PLAYOFF_1aFASE!AO$24,Pesos!$M$3,0)),IF(AO14=PLAYOFF_1aFASE!AO$24,Pesos!$M$3,0))*IF(COUNTIF(AO$3:AO$23,AO14)=1,2,1)</f>
        <v>0</v>
      </c>
      <c r="AQ14" s="41"/>
      <c r="AR14" s="41">
        <f t="shared" si="9"/>
        <v>6</v>
      </c>
    </row>
    <row r="15" ht="14.25" customHeight="1">
      <c r="A15" s="40"/>
      <c r="B15" s="51" t="s">
        <v>12</v>
      </c>
      <c r="C15" s="46">
        <f>VLOOKUP($B15,Form_Playoff1aFase!$C$1:$AQ$44,2,FALSE)</f>
        <v>0</v>
      </c>
      <c r="D15" s="9" t="s">
        <v>98</v>
      </c>
      <c r="E15" s="46">
        <f>VLOOKUP($B15,Form_Playoff1aFase!$C$1:$AQ$44,3,FALSE)</f>
        <v>2</v>
      </c>
      <c r="F15" s="47" t="str">
        <f t="shared" si="1"/>
        <v>visita</v>
      </c>
      <c r="G15" s="48">
        <f>IF(C15=PLAYOFF_1aFASE!C$24,IF(PLAYOFF_1aFASE!E$24=E15,Pesos!$M$6,IF(F15=PLAYOFF_1aFASE!F$24,Pesos!$M$3,0)),IF(F15=PLAYOFF_1aFASE!F$24,Pesos!$M$3,0))*IF(COUNTIF(F$3:F$23,F15)=1,2,1)</f>
        <v>0.5</v>
      </c>
      <c r="H15" s="49">
        <f>VLOOKUP($B15,Form_Playoff1aFase!$C$1:$AQ$44,7,FALSE)</f>
        <v>1</v>
      </c>
      <c r="I15" s="9" t="s">
        <v>98</v>
      </c>
      <c r="J15" s="49">
        <f>VLOOKUP($B15,Form_Playoff1aFase!$C$1:$AQ$44,8,FALSE)</f>
        <v>1</v>
      </c>
      <c r="K15" s="47" t="str">
        <f t="shared" si="2"/>
        <v>empate</v>
      </c>
      <c r="L15" s="48">
        <f>IF(H15=PLAYOFF_1aFASE!H$24,IF(PLAYOFF_1aFASE!J$24=J15,Pesos!$M$6,IF(K15=PLAYOFF_1aFASE!K$24,Pesos!$M$3,0)),IF(K15=PLAYOFF_1aFASE!K$24,Pesos!$M$3,0))*IF(COUNTIF(K$3:K$23,K15)=1,2,1)</f>
        <v>0</v>
      </c>
      <c r="M15" s="49">
        <f>VLOOKUP($B15,Form_Playoff1aFase!$C$1:$AQ$44,12,FALSE)</f>
        <v>1</v>
      </c>
      <c r="N15" s="9" t="s">
        <v>98</v>
      </c>
      <c r="O15" s="49">
        <f>VLOOKUP($B15,Form_Playoff1aFase!$C$1:$AQ$44,13,FALSE)</f>
        <v>1</v>
      </c>
      <c r="P15" s="47" t="str">
        <f t="shared" si="3"/>
        <v>empate</v>
      </c>
      <c r="Q15" s="48">
        <f>IF(M15=PLAYOFF_1aFASE!M$24,IF(PLAYOFF_1aFASE!O$24=O15,Pesos!$M$6,IF(P15=PLAYOFF_1aFASE!P$24,Pesos!$M$3,0)),IF(P15=PLAYOFF_1aFASE!P$24,Pesos!$M$3,0))*IF(COUNTIF(P$3:P$23,P15)=1,2,1)</f>
        <v>0</v>
      </c>
      <c r="R15" s="49">
        <f>VLOOKUP($B15,Form_Playoff1aFase!$C$1:$AQ$44,17,FALSE)</f>
        <v>2</v>
      </c>
      <c r="S15" s="9" t="s">
        <v>98</v>
      </c>
      <c r="T15" s="49">
        <f>VLOOKUP($B15,Form_Playoff1aFase!$C$1:$AQ$44,18,FALSE)</f>
        <v>1</v>
      </c>
      <c r="U15" s="47" t="str">
        <f t="shared" si="4"/>
        <v>casa</v>
      </c>
      <c r="V15" s="48">
        <f>IF(R15=PLAYOFF_1aFASE!R$24,IF(PLAYOFF_1aFASE!T$24=T15,Pesos!$M$6,IF(U15=PLAYOFF_1aFASE!U$24,Pesos!$M$3,0)),IF(U15=PLAYOFF_1aFASE!U$24,Pesos!$M$3,0))*IF(COUNTIF(U$3:U$23,U15)=1,2,1)</f>
        <v>0.5</v>
      </c>
      <c r="W15" s="49">
        <f>VLOOKUP($B15,Form_Playoff1aFase!$C$1:$AQ$44,22,FALSE)</f>
        <v>0</v>
      </c>
      <c r="X15" s="9" t="s">
        <v>98</v>
      </c>
      <c r="Y15" s="49">
        <f>VLOOKUP($B15,Form_Playoff1aFase!$C$1:$AQ$44,23,FALSE)</f>
        <v>0</v>
      </c>
      <c r="Z15" s="47" t="str">
        <f t="shared" si="5"/>
        <v>empate</v>
      </c>
      <c r="AA15" s="48">
        <f>IF(W15=PLAYOFF_1aFASE!W$24,IF(PLAYOFF_1aFASE!Y$24=Y15,Pesos!$M$6,IF(Z15=PLAYOFF_1aFASE!Z$24,Pesos!$M$3,0)),IF(Z15=PLAYOFF_1aFASE!Z$24,Pesos!$M$3,0))*IF(COUNTIF(Z$3:Z$23,Z15)=1,2,1)</f>
        <v>0</v>
      </c>
      <c r="AB15" s="49">
        <f>VLOOKUP($B15,Form_Playoff1aFase!$C$1:$AQ$44,27,FALSE)</f>
        <v>1</v>
      </c>
      <c r="AC15" s="9" t="s">
        <v>98</v>
      </c>
      <c r="AD15" s="49">
        <f>VLOOKUP($B15,Form_Playoff1aFase!$C$1:$AQ$44,28,FALSE)</f>
        <v>1</v>
      </c>
      <c r="AE15" s="47" t="str">
        <f t="shared" si="6"/>
        <v>empate</v>
      </c>
      <c r="AF15" s="48">
        <f>IF(AB15=PLAYOFF_1aFASE!AB$24,IF(PLAYOFF_1aFASE!AD$24=AD15,Pesos!$M$6,IF(AE15=PLAYOFF_1aFASE!AE$24,Pesos!$M$3,0)),IF(AE15=PLAYOFF_1aFASE!AE$24,Pesos!$M$3,0))*IF(COUNTIF(AE$3:AE$23,AE15)=1,2,1)</f>
        <v>0.5</v>
      </c>
      <c r="AG15" s="49">
        <f>VLOOKUP($B15,Form_Playoff1aFase!$C$1:$AQ$44,32,FALSE)</f>
        <v>1</v>
      </c>
      <c r="AH15" s="9" t="s">
        <v>98</v>
      </c>
      <c r="AI15" s="49">
        <f>VLOOKUP($B15,Form_Playoff1aFase!$C$1:$AQ$44,33,FALSE)</f>
        <v>2</v>
      </c>
      <c r="AJ15" s="47" t="str">
        <f t="shared" si="7"/>
        <v>visita</v>
      </c>
      <c r="AK15" s="48">
        <f>IF(AG15=PLAYOFF_1aFASE!AG$24,IF(PLAYOFF_1aFASE!AI$24=AI15,Pesos!$M$6,IF(AJ15=PLAYOFF_1aFASE!AJ$24,Pesos!$M$3,0)),IF(AJ15=PLAYOFF_1aFASE!AJ$24,Pesos!$M$3,0))*IF(COUNTIF(AJ$3:AJ$23,AJ15)=1,2,1)</f>
        <v>0</v>
      </c>
      <c r="AL15" s="49">
        <f>VLOOKUP($B15,Form_Playoff1aFase!$C$1:$AQ$44,37,FALSE)</f>
        <v>2</v>
      </c>
      <c r="AM15" s="9" t="s">
        <v>98</v>
      </c>
      <c r="AN15" s="49">
        <f>VLOOKUP($B15,Form_Playoff1aFase!$C$1:$AQ$44,38,FALSE)</f>
        <v>2</v>
      </c>
      <c r="AO15" s="47" t="str">
        <f t="shared" si="8"/>
        <v>empate</v>
      </c>
      <c r="AP15" s="48">
        <f>IF(AL15=PLAYOFF_1aFASE!AL$24,IF(PLAYOFF_1aFASE!AN$24=AN15,Pesos!$M$6,IF(AO15=PLAYOFF_1aFASE!AO$24,Pesos!$M$3,0)),IF(AO15=PLAYOFF_1aFASE!AO$24,Pesos!$M$3,0))*IF(COUNTIF(AO$3:AO$23,AO15)=1,2,1)</f>
        <v>0</v>
      </c>
      <c r="AQ15" s="41"/>
      <c r="AR15" s="41">
        <f t="shared" si="9"/>
        <v>3</v>
      </c>
    </row>
    <row r="16" ht="14.25" customHeight="1">
      <c r="A16" s="40"/>
      <c r="B16" s="51" t="s">
        <v>8</v>
      </c>
      <c r="C16" s="46">
        <f>VLOOKUP($B16,Form_Playoff1aFase!$C$1:$AQ$44,2,FALSE)</f>
        <v>1</v>
      </c>
      <c r="D16" s="9" t="s">
        <v>98</v>
      </c>
      <c r="E16" s="46">
        <f>VLOOKUP($B16,Form_Playoff1aFase!$C$1:$AQ$44,3,FALSE)</f>
        <v>2</v>
      </c>
      <c r="F16" s="47" t="str">
        <f t="shared" si="1"/>
        <v>visita</v>
      </c>
      <c r="G16" s="48">
        <f>IF(C16=PLAYOFF_1aFASE!C$24,IF(PLAYOFF_1aFASE!E$24=E16,Pesos!$M$6,IF(F16=PLAYOFF_1aFASE!F$24,Pesos!$M$3,0)),IF(F16=PLAYOFF_1aFASE!F$24,Pesos!$M$3,0))*IF(COUNTIF(F$3:F$23,F16)=1,2,1)</f>
        <v>0.5</v>
      </c>
      <c r="H16" s="49">
        <f>VLOOKUP($B16,Form_Playoff1aFase!$C$1:$AQ$44,7,FALSE)</f>
        <v>1</v>
      </c>
      <c r="I16" s="9" t="s">
        <v>98</v>
      </c>
      <c r="J16" s="49">
        <f>VLOOKUP($B16,Form_Playoff1aFase!$C$1:$AQ$44,8,FALSE)</f>
        <v>1</v>
      </c>
      <c r="K16" s="47" t="str">
        <f t="shared" si="2"/>
        <v>empate</v>
      </c>
      <c r="L16" s="48">
        <f>IF(H16=PLAYOFF_1aFASE!H$24,IF(PLAYOFF_1aFASE!J$24=J16,Pesos!$M$6,IF(K16=PLAYOFF_1aFASE!K$24,Pesos!$M$3,0)),IF(K16=PLAYOFF_1aFASE!K$24,Pesos!$M$3,0))*IF(COUNTIF(K$3:K$23,K16)=1,2,1)</f>
        <v>0</v>
      </c>
      <c r="M16" s="49">
        <f>VLOOKUP($B16,Form_Playoff1aFase!$C$1:$AQ$44,12,FALSE)</f>
        <v>2</v>
      </c>
      <c r="N16" s="9" t="s">
        <v>98</v>
      </c>
      <c r="O16" s="49">
        <f>VLOOKUP($B16,Form_Playoff1aFase!$C$1:$AQ$44,13,FALSE)</f>
        <v>2</v>
      </c>
      <c r="P16" s="47" t="str">
        <f t="shared" si="3"/>
        <v>empate</v>
      </c>
      <c r="Q16" s="48">
        <f>IF(M16=PLAYOFF_1aFASE!M$24,IF(PLAYOFF_1aFASE!O$24=O16,Pesos!$M$6,IF(P16=PLAYOFF_1aFASE!P$24,Pesos!$M$3,0)),IF(P16=PLAYOFF_1aFASE!P$24,Pesos!$M$3,0))*IF(COUNTIF(P$3:P$23,P16)=1,2,1)</f>
        <v>0</v>
      </c>
      <c r="R16" s="49">
        <f>VLOOKUP($B16,Form_Playoff1aFase!$C$1:$AQ$44,17,FALSE)</f>
        <v>2</v>
      </c>
      <c r="S16" s="9" t="s">
        <v>98</v>
      </c>
      <c r="T16" s="49">
        <f>VLOOKUP($B16,Form_Playoff1aFase!$C$1:$AQ$44,18,FALSE)</f>
        <v>1</v>
      </c>
      <c r="U16" s="47" t="str">
        <f t="shared" si="4"/>
        <v>casa</v>
      </c>
      <c r="V16" s="48">
        <f>IF(R16=PLAYOFF_1aFASE!R$24,IF(PLAYOFF_1aFASE!T$24=T16,Pesos!$M$6,IF(U16=PLAYOFF_1aFASE!U$24,Pesos!$M$3,0)),IF(U16=PLAYOFF_1aFASE!U$24,Pesos!$M$3,0))*IF(COUNTIF(U$3:U$23,U16)=1,2,1)</f>
        <v>0.5</v>
      </c>
      <c r="W16" s="49">
        <f>VLOOKUP($B16,Form_Playoff1aFase!$C$1:$AQ$44,22,FALSE)</f>
        <v>1</v>
      </c>
      <c r="X16" s="9" t="s">
        <v>98</v>
      </c>
      <c r="Y16" s="49">
        <f>VLOOKUP($B16,Form_Playoff1aFase!$C$1:$AQ$44,23,FALSE)</f>
        <v>2</v>
      </c>
      <c r="Z16" s="47" t="str">
        <f t="shared" si="5"/>
        <v>visita</v>
      </c>
      <c r="AA16" s="48">
        <f>IF(W16=PLAYOFF_1aFASE!W$24,IF(PLAYOFF_1aFASE!Y$24=Y16,Pesos!$M$6,IF(Z16=PLAYOFF_1aFASE!Z$24,Pesos!$M$3,0)),IF(Z16=PLAYOFF_1aFASE!Z$24,Pesos!$M$3,0))*IF(COUNTIF(Z$3:Z$23,Z16)=1,2,1)</f>
        <v>0.5</v>
      </c>
      <c r="AB16" s="49">
        <f>VLOOKUP($B16,Form_Playoff1aFase!$C$1:$AQ$44,27,FALSE)</f>
        <v>2</v>
      </c>
      <c r="AC16" s="9" t="s">
        <v>98</v>
      </c>
      <c r="AD16" s="49">
        <f>VLOOKUP($B16,Form_Playoff1aFase!$C$1:$AQ$44,28,FALSE)</f>
        <v>1</v>
      </c>
      <c r="AE16" s="47" t="str">
        <f t="shared" si="6"/>
        <v>casa</v>
      </c>
      <c r="AF16" s="48">
        <f>IF(AB16=PLAYOFF_1aFASE!AB$24,IF(PLAYOFF_1aFASE!AD$24=AD16,Pesos!$M$6,IF(AE16=PLAYOFF_1aFASE!AE$24,Pesos!$M$3,0)),IF(AE16=PLAYOFF_1aFASE!AE$24,Pesos!$M$3,0))*IF(COUNTIF(AE$3:AE$23,AE16)=1,2,1)</f>
        <v>0</v>
      </c>
      <c r="AG16" s="49">
        <f>VLOOKUP($B16,Form_Playoff1aFase!$C$1:$AQ$44,32,FALSE)</f>
        <v>1</v>
      </c>
      <c r="AH16" s="9" t="s">
        <v>98</v>
      </c>
      <c r="AI16" s="49">
        <f>VLOOKUP($B16,Form_Playoff1aFase!$C$1:$AQ$44,33,FALSE)</f>
        <v>2</v>
      </c>
      <c r="AJ16" s="47" t="str">
        <f t="shared" si="7"/>
        <v>visita</v>
      </c>
      <c r="AK16" s="48">
        <f>IF(AG16=PLAYOFF_1aFASE!AG$24,IF(PLAYOFF_1aFASE!AI$24=AI16,Pesos!$M$6,IF(AJ16=PLAYOFF_1aFASE!AJ$24,Pesos!$M$3,0)),IF(AJ16=PLAYOFF_1aFASE!AJ$24,Pesos!$M$3,0))*IF(COUNTIF(AJ$3:AJ$23,AJ16)=1,2,1)</f>
        <v>0</v>
      </c>
      <c r="AL16" s="49">
        <f>VLOOKUP($B16,Form_Playoff1aFase!$C$1:$AQ$44,37,FALSE)</f>
        <v>1</v>
      </c>
      <c r="AM16" s="9" t="s">
        <v>98</v>
      </c>
      <c r="AN16" s="49">
        <f>VLOOKUP($B16,Form_Playoff1aFase!$C$1:$AQ$44,38,FALSE)</f>
        <v>1</v>
      </c>
      <c r="AO16" s="47" t="str">
        <f t="shared" si="8"/>
        <v>empate</v>
      </c>
      <c r="AP16" s="48">
        <f>IF(AL16=PLAYOFF_1aFASE!AL$24,IF(PLAYOFF_1aFASE!AN$24=AN16,Pesos!$M$6,IF(AO16=PLAYOFF_1aFASE!AO$24,Pesos!$M$3,0)),IF(AO16=PLAYOFF_1aFASE!AO$24,Pesos!$M$3,0))*IF(COUNTIF(AO$3:AO$23,AO16)=1,2,1)</f>
        <v>0</v>
      </c>
      <c r="AQ16" s="41"/>
      <c r="AR16" s="41">
        <f t="shared" si="9"/>
        <v>3</v>
      </c>
    </row>
    <row r="17" ht="14.25" customHeight="1">
      <c r="A17" s="40"/>
      <c r="B17" s="51" t="s">
        <v>16</v>
      </c>
      <c r="C17" s="46">
        <f>VLOOKUP($B17,Form_Playoff1aFase!$C$1:$AQ$44,2,FALSE)</f>
        <v>1</v>
      </c>
      <c r="D17" s="9" t="s">
        <v>98</v>
      </c>
      <c r="E17" s="46">
        <f>VLOOKUP($B17,Form_Playoff1aFase!$C$1:$AQ$44,3,FALSE)</f>
        <v>2</v>
      </c>
      <c r="F17" s="47" t="str">
        <f t="shared" si="1"/>
        <v>visita</v>
      </c>
      <c r="G17" s="48">
        <f>IF(C17=PLAYOFF_1aFASE!C$24,IF(PLAYOFF_1aFASE!E$24=E17,Pesos!$M$6,IF(F17=PLAYOFF_1aFASE!F$24,Pesos!$M$3,0)),IF(F17=PLAYOFF_1aFASE!F$24,Pesos!$M$3,0))*IF(COUNTIF(F$3:F$23,F17)=1,2,1)</f>
        <v>0.5</v>
      </c>
      <c r="H17" s="49">
        <f>VLOOKUP($B17,Form_Playoff1aFase!$C$1:$AQ$44,7,FALSE)</f>
        <v>1</v>
      </c>
      <c r="I17" s="9" t="s">
        <v>98</v>
      </c>
      <c r="J17" s="49">
        <f>VLOOKUP($B17,Form_Playoff1aFase!$C$1:$AQ$44,8,FALSE)</f>
        <v>1</v>
      </c>
      <c r="K17" s="47" t="str">
        <f t="shared" si="2"/>
        <v>empate</v>
      </c>
      <c r="L17" s="48">
        <f>IF(H17=PLAYOFF_1aFASE!H$24,IF(PLAYOFF_1aFASE!J$24=J17,Pesos!$M$6,IF(K17=PLAYOFF_1aFASE!K$24,Pesos!$M$3,0)),IF(K17=PLAYOFF_1aFASE!K$24,Pesos!$M$3,0))*IF(COUNTIF(K$3:K$23,K17)=1,2,1)</f>
        <v>0</v>
      </c>
      <c r="M17" s="49">
        <f>VLOOKUP($B17,Form_Playoff1aFase!$C$1:$AQ$44,12,FALSE)</f>
        <v>0</v>
      </c>
      <c r="N17" s="9" t="s">
        <v>98</v>
      </c>
      <c r="O17" s="49">
        <f>VLOOKUP($B17,Form_Playoff1aFase!$C$1:$AQ$44,13,FALSE)</f>
        <v>2</v>
      </c>
      <c r="P17" s="47" t="str">
        <f t="shared" si="3"/>
        <v>visita</v>
      </c>
      <c r="Q17" s="48">
        <f>IF(M17=PLAYOFF_1aFASE!M$24,IF(PLAYOFF_1aFASE!O$24=O17,Pesos!$M$6,IF(P17=PLAYOFF_1aFASE!P$24,Pesos!$M$3,0)),IF(P17=PLAYOFF_1aFASE!P$24,Pesos!$M$3,0))*IF(COUNTIF(P$3:P$23,P17)=1,2,1)</f>
        <v>0.5</v>
      </c>
      <c r="R17" s="49">
        <f>VLOOKUP($B17,Form_Playoff1aFase!$C$1:$AQ$44,17,FALSE)</f>
        <v>2</v>
      </c>
      <c r="S17" s="9" t="s">
        <v>98</v>
      </c>
      <c r="T17" s="49">
        <f>VLOOKUP($B17,Form_Playoff1aFase!$C$1:$AQ$44,18,FALSE)</f>
        <v>1</v>
      </c>
      <c r="U17" s="47" t="str">
        <f t="shared" si="4"/>
        <v>casa</v>
      </c>
      <c r="V17" s="48">
        <f>IF(R17=PLAYOFF_1aFASE!R$24,IF(PLAYOFF_1aFASE!T$24=T17,Pesos!$M$6,IF(U17=PLAYOFF_1aFASE!U$24,Pesos!$M$3,0)),IF(U17=PLAYOFF_1aFASE!U$24,Pesos!$M$3,0))*IF(COUNTIF(U$3:U$23,U17)=1,2,1)</f>
        <v>0.5</v>
      </c>
      <c r="W17" s="49">
        <f>VLOOKUP($B17,Form_Playoff1aFase!$C$1:$AQ$44,22,FALSE)</f>
        <v>1</v>
      </c>
      <c r="X17" s="9" t="s">
        <v>98</v>
      </c>
      <c r="Y17" s="49">
        <f>VLOOKUP($B17,Form_Playoff1aFase!$C$1:$AQ$44,23,FALSE)</f>
        <v>3</v>
      </c>
      <c r="Z17" s="47" t="str">
        <f t="shared" si="5"/>
        <v>visita</v>
      </c>
      <c r="AA17" s="48">
        <f>IF(W17=PLAYOFF_1aFASE!W$24,IF(PLAYOFF_1aFASE!Y$24=Y17,Pesos!$M$6,IF(Z17=PLAYOFF_1aFASE!Z$24,Pesos!$M$3,0)),IF(Z17=PLAYOFF_1aFASE!Z$24,Pesos!$M$3,0))*IF(COUNTIF(Z$3:Z$23,Z17)=1,2,1)</f>
        <v>0.5</v>
      </c>
      <c r="AB17" s="49">
        <f>VLOOKUP($B17,Form_Playoff1aFase!$C$1:$AQ$44,27,FALSE)</f>
        <v>1</v>
      </c>
      <c r="AC17" s="9" t="s">
        <v>98</v>
      </c>
      <c r="AD17" s="49">
        <f>VLOOKUP($B17,Form_Playoff1aFase!$C$1:$AQ$44,28,FALSE)</f>
        <v>1</v>
      </c>
      <c r="AE17" s="47" t="str">
        <f t="shared" si="6"/>
        <v>empate</v>
      </c>
      <c r="AF17" s="48">
        <f>IF(AB17=PLAYOFF_1aFASE!AB$24,IF(PLAYOFF_1aFASE!AD$24=AD17,Pesos!$M$6,IF(AE17=PLAYOFF_1aFASE!AE$24,Pesos!$M$3,0)),IF(AE17=PLAYOFF_1aFASE!AE$24,Pesos!$M$3,0))*IF(COUNTIF(AE$3:AE$23,AE17)=1,2,1)</f>
        <v>0.5</v>
      </c>
      <c r="AG17" s="49">
        <f>VLOOKUP($B17,Form_Playoff1aFase!$C$1:$AQ$44,32,FALSE)</f>
        <v>1</v>
      </c>
      <c r="AH17" s="9" t="s">
        <v>98</v>
      </c>
      <c r="AI17" s="49">
        <f>VLOOKUP($B17,Form_Playoff1aFase!$C$1:$AQ$44,33,FALSE)</f>
        <v>1</v>
      </c>
      <c r="AJ17" s="47" t="str">
        <f t="shared" si="7"/>
        <v>empate</v>
      </c>
      <c r="AK17" s="48">
        <f>IF(AG17=PLAYOFF_1aFASE!AG$24,IF(PLAYOFF_1aFASE!AI$24=AI17,Pesos!$M$6,IF(AJ17=PLAYOFF_1aFASE!AJ$24,Pesos!$M$3,0)),IF(AJ17=PLAYOFF_1aFASE!AJ$24,Pesos!$M$3,0))*IF(COUNTIF(AJ$3:AJ$23,AJ17)=1,2,1)</f>
        <v>0</v>
      </c>
      <c r="AL17" s="49">
        <f>VLOOKUP($B17,Form_Playoff1aFase!$C$1:$AQ$44,37,FALSE)</f>
        <v>2</v>
      </c>
      <c r="AM17" s="9" t="s">
        <v>98</v>
      </c>
      <c r="AN17" s="49">
        <f>VLOOKUP($B17,Form_Playoff1aFase!$C$1:$AQ$44,38,FALSE)</f>
        <v>1</v>
      </c>
      <c r="AO17" s="47" t="str">
        <f t="shared" si="8"/>
        <v>casa</v>
      </c>
      <c r="AP17" s="48">
        <f>IF(AL17=PLAYOFF_1aFASE!AL$24,IF(PLAYOFF_1aFASE!AN$24=AN17,Pesos!$M$6,IF(AO17=PLAYOFF_1aFASE!AO$24,Pesos!$M$3,0)),IF(AO17=PLAYOFF_1aFASE!AO$24,Pesos!$M$3,0))*IF(COUNTIF(AO$3:AO$23,AO17)=1,2,1)</f>
        <v>0</v>
      </c>
      <c r="AQ17" s="41"/>
      <c r="AR17" s="41">
        <f t="shared" si="9"/>
        <v>5</v>
      </c>
    </row>
    <row r="18" ht="14.25" customHeight="1">
      <c r="A18" s="40"/>
      <c r="B18" s="51" t="s">
        <v>11</v>
      </c>
      <c r="C18" s="46">
        <f>VLOOKUP($B18,Form_Playoff1aFase!$C$1:$AQ$44,2,FALSE)</f>
        <v>2</v>
      </c>
      <c r="D18" s="9" t="s">
        <v>98</v>
      </c>
      <c r="E18" s="46">
        <f>VLOOKUP($B18,Form_Playoff1aFase!$C$1:$AQ$44,3,FALSE)</f>
        <v>3</v>
      </c>
      <c r="F18" s="47" t="str">
        <f t="shared" si="1"/>
        <v>visita</v>
      </c>
      <c r="G18" s="48">
        <f>IF(C18=PLAYOFF_1aFASE!C$24,IF(PLAYOFF_1aFASE!E$24=E18,Pesos!$M$6,IF(F18=PLAYOFF_1aFASE!F$24,Pesos!$M$3,0)),IF(F18=PLAYOFF_1aFASE!F$24,Pesos!$M$3,0))*IF(COUNTIF(F$3:F$23,F18)=1,2,1)</f>
        <v>3</v>
      </c>
      <c r="H18" s="49">
        <f>VLOOKUP($B18,Form_Playoff1aFase!$C$1:$AQ$44,7,FALSE)</f>
        <v>1</v>
      </c>
      <c r="I18" s="9" t="s">
        <v>98</v>
      </c>
      <c r="J18" s="49">
        <f>VLOOKUP($B18,Form_Playoff1aFase!$C$1:$AQ$44,8,FALSE)</f>
        <v>1</v>
      </c>
      <c r="K18" s="47" t="str">
        <f t="shared" si="2"/>
        <v>empate</v>
      </c>
      <c r="L18" s="48">
        <f>IF(H18=PLAYOFF_1aFASE!H$24,IF(PLAYOFF_1aFASE!J$24=J18,Pesos!$M$6,IF(K18=PLAYOFF_1aFASE!K$24,Pesos!$M$3,0)),IF(K18=PLAYOFF_1aFASE!K$24,Pesos!$M$3,0))*IF(COUNTIF(K$3:K$23,K18)=1,2,1)</f>
        <v>0</v>
      </c>
      <c r="M18" s="49">
        <f>VLOOKUP($B18,Form_Playoff1aFase!$C$1:$AQ$44,12,FALSE)</f>
        <v>0</v>
      </c>
      <c r="N18" s="9" t="s">
        <v>98</v>
      </c>
      <c r="O18" s="49">
        <f>VLOOKUP($B18,Form_Playoff1aFase!$C$1:$AQ$44,13,FALSE)</f>
        <v>0</v>
      </c>
      <c r="P18" s="47" t="str">
        <f t="shared" si="3"/>
        <v>empate</v>
      </c>
      <c r="Q18" s="48">
        <f>IF(M18=PLAYOFF_1aFASE!M$24,IF(PLAYOFF_1aFASE!O$24=O18,Pesos!$M$6,IF(P18=PLAYOFF_1aFASE!P$24,Pesos!$M$3,0)),IF(P18=PLAYOFF_1aFASE!P$24,Pesos!$M$3,0))*IF(COUNTIF(P$3:P$23,P18)=1,2,1)</f>
        <v>0</v>
      </c>
      <c r="R18" s="49">
        <f>VLOOKUP($B18,Form_Playoff1aFase!$C$1:$AQ$44,17,FALSE)</f>
        <v>1</v>
      </c>
      <c r="S18" s="9" t="s">
        <v>98</v>
      </c>
      <c r="T18" s="49">
        <f>VLOOKUP($B18,Form_Playoff1aFase!$C$1:$AQ$44,18,FALSE)</f>
        <v>1</v>
      </c>
      <c r="U18" s="47" t="str">
        <f t="shared" si="4"/>
        <v>empate</v>
      </c>
      <c r="V18" s="48">
        <f>IF(R18=PLAYOFF_1aFASE!R$24,IF(PLAYOFF_1aFASE!T$24=T18,Pesos!$M$6,IF(U18=PLAYOFF_1aFASE!U$24,Pesos!$M$3,0)),IF(U18=PLAYOFF_1aFASE!U$24,Pesos!$M$3,0))*IF(COUNTIF(U$3:U$23,U18)=1,2,1)</f>
        <v>0</v>
      </c>
      <c r="W18" s="49">
        <f>VLOOKUP($B18,Form_Playoff1aFase!$C$1:$AQ$44,22,FALSE)</f>
        <v>1</v>
      </c>
      <c r="X18" s="46" t="s">
        <v>98</v>
      </c>
      <c r="Y18" s="49">
        <f>VLOOKUP($B18,Form_Playoff1aFase!$C$1:$AQ$44,23,FALSE)</f>
        <v>3</v>
      </c>
      <c r="Z18" s="47" t="str">
        <f t="shared" si="5"/>
        <v>visita</v>
      </c>
      <c r="AA18" s="48">
        <f>IF(W18=PLAYOFF_1aFASE!W$24,IF(PLAYOFF_1aFASE!Y$24=Y18,Pesos!$M$6,IF(Z18=PLAYOFF_1aFASE!Z$24,Pesos!$M$3,0)),IF(Z18=PLAYOFF_1aFASE!Z$24,Pesos!$M$3,0))*IF(COUNTIF(Z$3:Z$23,Z18)=1,2,1)</f>
        <v>0.5</v>
      </c>
      <c r="AB18" s="49">
        <f>VLOOKUP($B18,Form_Playoff1aFase!$C$1:$AQ$44,27,FALSE)</f>
        <v>1</v>
      </c>
      <c r="AC18" s="9" t="s">
        <v>98</v>
      </c>
      <c r="AD18" s="49">
        <f>VLOOKUP($B18,Form_Playoff1aFase!$C$1:$AQ$44,28,FALSE)</f>
        <v>0</v>
      </c>
      <c r="AE18" s="47" t="str">
        <f t="shared" si="6"/>
        <v>casa</v>
      </c>
      <c r="AF18" s="48">
        <f>IF(AB18=PLAYOFF_1aFASE!AB$24,IF(PLAYOFF_1aFASE!AD$24=AD18,Pesos!$M$6,IF(AE18=PLAYOFF_1aFASE!AE$24,Pesos!$M$3,0)),IF(AE18=PLAYOFF_1aFASE!AE$24,Pesos!$M$3,0))*IF(COUNTIF(AE$3:AE$23,AE18)=1,2,1)</f>
        <v>0</v>
      </c>
      <c r="AG18" s="49">
        <f>VLOOKUP($B18,Form_Playoff1aFase!$C$1:$AQ$44,32,FALSE)</f>
        <v>3</v>
      </c>
      <c r="AH18" s="9" t="s">
        <v>98</v>
      </c>
      <c r="AI18" s="49">
        <f>VLOOKUP($B18,Form_Playoff1aFase!$C$1:$AQ$44,33,FALSE)</f>
        <v>2</v>
      </c>
      <c r="AJ18" s="47" t="str">
        <f t="shared" si="7"/>
        <v>casa</v>
      </c>
      <c r="AK18" s="48">
        <f>IF(AG18=PLAYOFF_1aFASE!AG$24,IF(PLAYOFF_1aFASE!AI$24=AI18,Pesos!$M$6,IF(AJ18=PLAYOFF_1aFASE!AJ$24,Pesos!$M$3,0)),IF(AJ18=PLAYOFF_1aFASE!AJ$24,Pesos!$M$3,0))*IF(COUNTIF(AJ$3:AJ$23,AJ18)=1,2,1)</f>
        <v>1</v>
      </c>
      <c r="AL18" s="49">
        <f>VLOOKUP($B18,Form_Playoff1aFase!$C$1:$AQ$44,37,FALSE)</f>
        <v>1</v>
      </c>
      <c r="AM18" s="9" t="s">
        <v>98</v>
      </c>
      <c r="AN18" s="49">
        <f>VLOOKUP($B18,Form_Playoff1aFase!$C$1:$AQ$44,38,FALSE)</f>
        <v>2</v>
      </c>
      <c r="AO18" s="47" t="str">
        <f t="shared" si="8"/>
        <v>visita</v>
      </c>
      <c r="AP18" s="48">
        <f>IF(AL18=PLAYOFF_1aFASE!AL$24,IF(PLAYOFF_1aFASE!AN$24=AN18,Pesos!$M$6,IF(AO18=PLAYOFF_1aFASE!AO$24,Pesos!$M$3,0)),IF(AO18=PLAYOFF_1aFASE!AO$24,Pesos!$M$3,0))*IF(COUNTIF(AO$3:AO$23,AO18)=1,2,1)</f>
        <v>0.5</v>
      </c>
      <c r="AQ18" s="41"/>
      <c r="AR18" s="41">
        <f t="shared" si="9"/>
        <v>4</v>
      </c>
    </row>
    <row r="19" ht="14.25" customHeight="1">
      <c r="A19" s="40"/>
      <c r="B19" s="51" t="s">
        <v>7</v>
      </c>
      <c r="C19" s="46">
        <f>VLOOKUP($B19,Form_Playoff1aFase!$C$1:$AQ$44,2,FALSE)</f>
        <v>0</v>
      </c>
      <c r="D19" s="9" t="s">
        <v>98</v>
      </c>
      <c r="E19" s="46">
        <f>VLOOKUP($B19,Form_Playoff1aFase!$C$1:$AQ$44,3,FALSE)</f>
        <v>2</v>
      </c>
      <c r="F19" s="47" t="str">
        <f t="shared" si="1"/>
        <v>visita</v>
      </c>
      <c r="G19" s="48">
        <f>IF(C19=PLAYOFF_1aFASE!C$24,IF(PLAYOFF_1aFASE!E$24=E19,Pesos!$M$6,IF(F19=PLAYOFF_1aFASE!F$24,Pesos!$M$3,0)),IF(F19=PLAYOFF_1aFASE!F$24,Pesos!$M$3,0))*IF(COUNTIF(F$3:F$23,F19)=1,2,1)</f>
        <v>0.5</v>
      </c>
      <c r="H19" s="49">
        <f>VLOOKUP($B19,Form_Playoff1aFase!$C$1:$AQ$44,7,FALSE)</f>
        <v>2</v>
      </c>
      <c r="I19" s="9" t="s">
        <v>98</v>
      </c>
      <c r="J19" s="49">
        <f>VLOOKUP($B19,Form_Playoff1aFase!$C$1:$AQ$44,8,FALSE)</f>
        <v>1</v>
      </c>
      <c r="K19" s="47" t="str">
        <f t="shared" si="2"/>
        <v>casa</v>
      </c>
      <c r="L19" s="48">
        <f>IF(H19=PLAYOFF_1aFASE!H$24,IF(PLAYOFF_1aFASE!J$24=J19,Pesos!$M$6,IF(K19=PLAYOFF_1aFASE!K$24,Pesos!$M$3,0)),IF(K19=PLAYOFF_1aFASE!K$24,Pesos!$M$3,0))*IF(COUNTIF(K$3:K$23,K19)=1,2,1)</f>
        <v>0.5</v>
      </c>
      <c r="M19" s="49">
        <f>VLOOKUP($B19,Form_Playoff1aFase!$C$1:$AQ$44,12,FALSE)</f>
        <v>2</v>
      </c>
      <c r="N19" s="9" t="s">
        <v>98</v>
      </c>
      <c r="O19" s="49">
        <f>VLOOKUP($B19,Form_Playoff1aFase!$C$1:$AQ$44,13,FALSE)</f>
        <v>2</v>
      </c>
      <c r="P19" s="47" t="str">
        <f t="shared" si="3"/>
        <v>empate</v>
      </c>
      <c r="Q19" s="48">
        <f>IF(M19=PLAYOFF_1aFASE!M$24,IF(PLAYOFF_1aFASE!O$24=O19,Pesos!$M$6,IF(P19=PLAYOFF_1aFASE!P$24,Pesos!$M$3,0)),IF(P19=PLAYOFF_1aFASE!P$24,Pesos!$M$3,0))*IF(COUNTIF(P$3:P$23,P19)=1,2,1)</f>
        <v>0</v>
      </c>
      <c r="R19" s="49">
        <f>VLOOKUP($B19,Form_Playoff1aFase!$C$1:$AQ$44,17,FALSE)</f>
        <v>3</v>
      </c>
      <c r="S19" s="9" t="s">
        <v>98</v>
      </c>
      <c r="T19" s="49">
        <f>VLOOKUP($B19,Form_Playoff1aFase!$C$1:$AQ$44,18,FALSE)</f>
        <v>0</v>
      </c>
      <c r="U19" s="47" t="str">
        <f t="shared" si="4"/>
        <v>casa</v>
      </c>
      <c r="V19" s="48">
        <f>IF(R19=PLAYOFF_1aFASE!R$24,IF(PLAYOFF_1aFASE!T$24=T19,Pesos!$M$6,IF(U19=PLAYOFF_1aFASE!U$24,Pesos!$M$3,0)),IF(U19=PLAYOFF_1aFASE!U$24,Pesos!$M$3,0))*IF(COUNTIF(U$3:U$23,U19)=1,2,1)</f>
        <v>0.5</v>
      </c>
      <c r="W19" s="49">
        <f>VLOOKUP($B19,Form_Playoff1aFase!$C$1:$AQ$44,22,FALSE)</f>
        <v>0</v>
      </c>
      <c r="X19" s="9" t="s">
        <v>98</v>
      </c>
      <c r="Y19" s="49">
        <f>VLOOKUP($B19,Form_Playoff1aFase!$C$1:$AQ$44,23,FALSE)</f>
        <v>2</v>
      </c>
      <c r="Z19" s="47" t="str">
        <f t="shared" si="5"/>
        <v>visita</v>
      </c>
      <c r="AA19" s="48">
        <f>IF(W19=PLAYOFF_1aFASE!W$24,IF(PLAYOFF_1aFASE!Y$24=Y19,Pesos!$M$6,IF(Z19=PLAYOFF_1aFASE!Z$24,Pesos!$M$3,0)),IF(Z19=PLAYOFF_1aFASE!Z$24,Pesos!$M$3,0))*IF(COUNTIF(Z$3:Z$23,Z19)=1,2,1)</f>
        <v>0.5</v>
      </c>
      <c r="AB19" s="49">
        <f>VLOOKUP($B19,Form_Playoff1aFase!$C$1:$AQ$44,27,FALSE)</f>
        <v>0</v>
      </c>
      <c r="AC19" s="9" t="s">
        <v>98</v>
      </c>
      <c r="AD19" s="49">
        <f>VLOOKUP($B19,Form_Playoff1aFase!$C$1:$AQ$44,28,FALSE)</f>
        <v>2</v>
      </c>
      <c r="AE19" s="47" t="str">
        <f t="shared" si="6"/>
        <v>visita</v>
      </c>
      <c r="AF19" s="48">
        <f>IF(AB19=PLAYOFF_1aFASE!AB$24,IF(PLAYOFF_1aFASE!AD$24=AD19,Pesos!$M$6,IF(AE19=PLAYOFF_1aFASE!AE$24,Pesos!$M$3,0)),IF(AE19=PLAYOFF_1aFASE!AE$24,Pesos!$M$3,0))*IF(COUNTIF(AE$3:AE$23,AE19)=1,2,1)</f>
        <v>0</v>
      </c>
      <c r="AG19" s="49">
        <f>VLOOKUP($B19,Form_Playoff1aFase!$C$1:$AQ$44,32,FALSE)</f>
        <v>0</v>
      </c>
      <c r="AH19" s="9" t="s">
        <v>98</v>
      </c>
      <c r="AI19" s="49">
        <f>VLOOKUP($B19,Form_Playoff1aFase!$C$1:$AQ$44,33,FALSE)</f>
        <v>2</v>
      </c>
      <c r="AJ19" s="47" t="str">
        <f t="shared" si="7"/>
        <v>visita</v>
      </c>
      <c r="AK19" s="48">
        <f>IF(AG19=PLAYOFF_1aFASE!AG$24,IF(PLAYOFF_1aFASE!AI$24=AI19,Pesos!$M$6,IF(AJ19=PLAYOFF_1aFASE!AJ$24,Pesos!$M$3,0)),IF(AJ19=PLAYOFF_1aFASE!AJ$24,Pesos!$M$3,0))*IF(COUNTIF(AJ$3:AJ$23,AJ19)=1,2,1)</f>
        <v>0</v>
      </c>
      <c r="AL19" s="49">
        <f>VLOOKUP($B19,Form_Playoff1aFase!$C$1:$AQ$44,37,FALSE)</f>
        <v>1</v>
      </c>
      <c r="AM19" s="9" t="s">
        <v>98</v>
      </c>
      <c r="AN19" s="49">
        <f>VLOOKUP($B19,Form_Playoff1aFase!$C$1:$AQ$44,38,FALSE)</f>
        <v>3</v>
      </c>
      <c r="AO19" s="47" t="str">
        <f t="shared" si="8"/>
        <v>visita</v>
      </c>
      <c r="AP19" s="48">
        <f>IF(AL19=PLAYOFF_1aFASE!AL$24,IF(PLAYOFF_1aFASE!AN$24=AN19,Pesos!$M$6,IF(AO19=PLAYOFF_1aFASE!AO$24,Pesos!$M$3,0)),IF(AO19=PLAYOFF_1aFASE!AO$24,Pesos!$M$3,0))*IF(COUNTIF(AO$3:AO$23,AO19)=1,2,1)</f>
        <v>0.5</v>
      </c>
      <c r="AQ19" s="41"/>
      <c r="AR19" s="41">
        <f t="shared" si="9"/>
        <v>5</v>
      </c>
    </row>
    <row r="20" ht="14.25" customHeight="1">
      <c r="A20" s="40"/>
      <c r="B20" s="51" t="s">
        <v>19</v>
      </c>
      <c r="C20" s="46">
        <f>VLOOKUP($B20,Form_Playoff1aFase!$C$1:$AQ$44,2,FALSE)</f>
        <v>2</v>
      </c>
      <c r="D20" s="9" t="s">
        <v>98</v>
      </c>
      <c r="E20" s="46">
        <f>VLOOKUP($B20,Form_Playoff1aFase!$C$1:$AQ$44,3,FALSE)</f>
        <v>0</v>
      </c>
      <c r="F20" s="47" t="str">
        <f t="shared" si="1"/>
        <v>casa</v>
      </c>
      <c r="G20" s="48">
        <f>IF(C20=PLAYOFF_1aFASE!C$24,IF(PLAYOFF_1aFASE!E$24=E20,Pesos!$M$6,IF(F20=PLAYOFF_1aFASE!F$24,Pesos!$M$3,0)),IF(F20=PLAYOFF_1aFASE!F$24,Pesos!$M$3,0))*IF(COUNTIF(F$3:F$23,F20)=1,2,1)</f>
        <v>0</v>
      </c>
      <c r="H20" s="49">
        <f>VLOOKUP($B20,Form_Playoff1aFase!$C$1:$AQ$44,7,FALSE)</f>
        <v>1</v>
      </c>
      <c r="I20" s="9" t="s">
        <v>98</v>
      </c>
      <c r="J20" s="49">
        <f>VLOOKUP($B20,Form_Playoff1aFase!$C$1:$AQ$44,8,FALSE)</f>
        <v>2</v>
      </c>
      <c r="K20" s="47" t="str">
        <f t="shared" si="2"/>
        <v>visita</v>
      </c>
      <c r="L20" s="48">
        <f>IF(H20=PLAYOFF_1aFASE!H$24,IF(PLAYOFF_1aFASE!J$24=J20,Pesos!$M$6,IF(K20=PLAYOFF_1aFASE!K$24,Pesos!$M$3,0)),IF(K20=PLAYOFF_1aFASE!K$24,Pesos!$M$3,0))*IF(COUNTIF(K$3:K$23,K20)=1,2,1)</f>
        <v>0</v>
      </c>
      <c r="M20" s="49">
        <f>VLOOKUP($B20,Form_Playoff1aFase!$C$1:$AQ$44,12,FALSE)</f>
        <v>0</v>
      </c>
      <c r="N20" s="9" t="s">
        <v>98</v>
      </c>
      <c r="O20" s="49">
        <f>VLOOKUP($B20,Form_Playoff1aFase!$C$1:$AQ$44,13,FALSE)</f>
        <v>1</v>
      </c>
      <c r="P20" s="47" t="str">
        <f t="shared" si="3"/>
        <v>visita</v>
      </c>
      <c r="Q20" s="48">
        <f>IF(M20=PLAYOFF_1aFASE!M$24,IF(PLAYOFF_1aFASE!O$24=O20,Pesos!$M$6,IF(P20=PLAYOFF_1aFASE!P$24,Pesos!$M$3,0)),IF(P20=PLAYOFF_1aFASE!P$24,Pesos!$M$3,0))*IF(COUNTIF(P$3:P$23,P20)=1,2,1)</f>
        <v>3</v>
      </c>
      <c r="R20" s="49">
        <f>VLOOKUP($B20,Form_Playoff1aFase!$C$1:$AQ$44,17,FALSE)</f>
        <v>2</v>
      </c>
      <c r="S20" s="9" t="s">
        <v>98</v>
      </c>
      <c r="T20" s="49">
        <f>VLOOKUP($B20,Form_Playoff1aFase!$C$1:$AQ$44,18,FALSE)</f>
        <v>0</v>
      </c>
      <c r="U20" s="47" t="str">
        <f t="shared" si="4"/>
        <v>casa</v>
      </c>
      <c r="V20" s="48">
        <f>IF(R20=PLAYOFF_1aFASE!R$24,IF(PLAYOFF_1aFASE!T$24=T20,Pesos!$M$6,IF(U20=PLAYOFF_1aFASE!U$24,Pesos!$M$3,0)),IF(U20=PLAYOFF_1aFASE!U$24,Pesos!$M$3,0))*IF(COUNTIF(U$3:U$23,U20)=1,2,1)</f>
        <v>3</v>
      </c>
      <c r="W20" s="49">
        <f>VLOOKUP($B20,Form_Playoff1aFase!$C$1:$AQ$44,22,FALSE)</f>
        <v>1</v>
      </c>
      <c r="X20" s="9" t="s">
        <v>98</v>
      </c>
      <c r="Y20" s="49">
        <f>VLOOKUP($B20,Form_Playoff1aFase!$C$1:$AQ$44,23,FALSE)</f>
        <v>2</v>
      </c>
      <c r="Z20" s="47" t="str">
        <f t="shared" si="5"/>
        <v>visita</v>
      </c>
      <c r="AA20" s="48">
        <f>IF(W20=PLAYOFF_1aFASE!W$24,IF(PLAYOFF_1aFASE!Y$24=Y20,Pesos!$M$6,IF(Z20=PLAYOFF_1aFASE!Z$24,Pesos!$M$3,0)),IF(Z20=PLAYOFF_1aFASE!Z$24,Pesos!$M$3,0))*IF(COUNTIF(Z$3:Z$23,Z20)=1,2,1)</f>
        <v>0.5</v>
      </c>
      <c r="AB20" s="49">
        <f>VLOOKUP($B20,Form_Playoff1aFase!$C$1:$AQ$44,27,FALSE)</f>
        <v>3</v>
      </c>
      <c r="AC20" s="9" t="s">
        <v>98</v>
      </c>
      <c r="AD20" s="49">
        <f>VLOOKUP($B20,Form_Playoff1aFase!$C$1:$AQ$44,28,FALSE)</f>
        <v>1</v>
      </c>
      <c r="AE20" s="47" t="str">
        <f t="shared" si="6"/>
        <v>casa</v>
      </c>
      <c r="AF20" s="48">
        <f>IF(AB20=PLAYOFF_1aFASE!AB$24,IF(PLAYOFF_1aFASE!AD$24=AD20,Pesos!$M$6,IF(AE20=PLAYOFF_1aFASE!AE$24,Pesos!$M$3,0)),IF(AE20=PLAYOFF_1aFASE!AE$24,Pesos!$M$3,0))*IF(COUNTIF(AE$3:AE$23,AE20)=1,2,1)</f>
        <v>0</v>
      </c>
      <c r="AG20" s="49">
        <f>VLOOKUP($B20,Form_Playoff1aFase!$C$1:$AQ$44,32,FALSE)</f>
        <v>0</v>
      </c>
      <c r="AH20" s="9" t="s">
        <v>98</v>
      </c>
      <c r="AI20" s="49">
        <f>VLOOKUP($B20,Form_Playoff1aFase!$C$1:$AQ$44,33,FALSE)</f>
        <v>2</v>
      </c>
      <c r="AJ20" s="47" t="str">
        <f t="shared" si="7"/>
        <v>visita</v>
      </c>
      <c r="AK20" s="48">
        <f>IF(AG20=PLAYOFF_1aFASE!AG$24,IF(PLAYOFF_1aFASE!AI$24=AI20,Pesos!$M$6,IF(AJ20=PLAYOFF_1aFASE!AJ$24,Pesos!$M$3,0)),IF(AJ20=PLAYOFF_1aFASE!AJ$24,Pesos!$M$3,0))*IF(COUNTIF(AJ$3:AJ$23,AJ20)=1,2,1)</f>
        <v>0</v>
      </c>
      <c r="AL20" s="49">
        <f>VLOOKUP($B20,Form_Playoff1aFase!$C$1:$AQ$44,37,FALSE)</f>
        <v>2</v>
      </c>
      <c r="AM20" s="9" t="s">
        <v>98</v>
      </c>
      <c r="AN20" s="49">
        <f>VLOOKUP($B20,Form_Playoff1aFase!$C$1:$AQ$44,38,FALSE)</f>
        <v>0</v>
      </c>
      <c r="AO20" s="47" t="str">
        <f t="shared" si="8"/>
        <v>casa</v>
      </c>
      <c r="AP20" s="48">
        <f>IF(AL20=PLAYOFF_1aFASE!AL$24,IF(PLAYOFF_1aFASE!AN$24=AN20,Pesos!$M$6,IF(AO20=PLAYOFF_1aFASE!AO$24,Pesos!$M$3,0)),IF(AO20=PLAYOFF_1aFASE!AO$24,Pesos!$M$3,0))*IF(COUNTIF(AO$3:AO$23,AO20)=1,2,1)</f>
        <v>0</v>
      </c>
      <c r="AQ20" s="41"/>
      <c r="AR20" s="41">
        <f t="shared" si="9"/>
        <v>3</v>
      </c>
    </row>
    <row r="21" ht="14.25" customHeight="1">
      <c r="A21" s="40"/>
      <c r="B21" s="52" t="s">
        <v>20</v>
      </c>
      <c r="C21" s="46">
        <f>VLOOKUP($B21,Form_Playoff1aFase!$C$1:$AQ$44,2,FALSE)</f>
        <v>1</v>
      </c>
      <c r="D21" s="9" t="s">
        <v>98</v>
      </c>
      <c r="E21" s="46">
        <f>VLOOKUP($B21,Form_Playoff1aFase!$C$1:$AQ$44,3,FALSE)</f>
        <v>2</v>
      </c>
      <c r="F21" s="47" t="str">
        <f t="shared" si="1"/>
        <v>visita</v>
      </c>
      <c r="G21" s="48">
        <f>IF(C21=PLAYOFF_1aFASE!C$24,IF(PLAYOFF_1aFASE!E$24=E21,Pesos!$M$6,IF(F21=PLAYOFF_1aFASE!F$24,Pesos!$M$3,0)),IF(F21=PLAYOFF_1aFASE!F$24,Pesos!$M$3,0))*IF(COUNTIF(F$3:F$23,F21)=1,2,1)</f>
        <v>0.5</v>
      </c>
      <c r="H21" s="49">
        <f>VLOOKUP($B21,Form_Playoff1aFase!$C$1:$AQ$44,7,FALSE)</f>
        <v>1</v>
      </c>
      <c r="I21" s="46" t="s">
        <v>98</v>
      </c>
      <c r="J21" s="49">
        <f>VLOOKUP($B21,Form_Playoff1aFase!$C$1:$AQ$44,8,FALSE)</f>
        <v>1</v>
      </c>
      <c r="K21" s="47" t="str">
        <f t="shared" si="2"/>
        <v>empate</v>
      </c>
      <c r="L21" s="48">
        <f>IF(H21=PLAYOFF_1aFASE!H$24,IF(PLAYOFF_1aFASE!J$24=J21,Pesos!$M$6,IF(K21=PLAYOFF_1aFASE!K$24,Pesos!$M$3,0)),IF(K21=PLAYOFF_1aFASE!K$24,Pesos!$M$3,0))*IF(COUNTIF(K$3:K$23,K21)=1,2,1)</f>
        <v>0</v>
      </c>
      <c r="M21" s="49">
        <f>VLOOKUP($B21,Form_Playoff1aFase!$C$1:$AQ$44,12,FALSE)</f>
        <v>1</v>
      </c>
      <c r="N21" s="46" t="s">
        <v>98</v>
      </c>
      <c r="O21" s="49">
        <f>VLOOKUP($B21,Form_Playoff1aFase!$C$1:$AQ$44,13,FALSE)</f>
        <v>2</v>
      </c>
      <c r="P21" s="47" t="str">
        <f t="shared" si="3"/>
        <v>visita</v>
      </c>
      <c r="Q21" s="48">
        <f>IF(M21=PLAYOFF_1aFASE!M$24,IF(PLAYOFF_1aFASE!O$24=O21,Pesos!$M$6,IF(P21=PLAYOFF_1aFASE!P$24,Pesos!$M$3,0)),IF(P21=PLAYOFF_1aFASE!P$24,Pesos!$M$3,0))*IF(COUNTIF(P$3:P$23,P21)=1,2,1)</f>
        <v>0.5</v>
      </c>
      <c r="R21" s="49">
        <f>VLOOKUP($B21,Form_Playoff1aFase!$C$1:$AQ$44,17,FALSE)</f>
        <v>1</v>
      </c>
      <c r="S21" s="46" t="s">
        <v>98</v>
      </c>
      <c r="T21" s="49">
        <f>VLOOKUP($B21,Form_Playoff1aFase!$C$1:$AQ$44,18,FALSE)</f>
        <v>1</v>
      </c>
      <c r="U21" s="47" t="str">
        <f t="shared" si="4"/>
        <v>empate</v>
      </c>
      <c r="V21" s="48">
        <f>IF(R21=PLAYOFF_1aFASE!R$24,IF(PLAYOFF_1aFASE!T$24=T21,Pesos!$M$6,IF(U21=PLAYOFF_1aFASE!U$24,Pesos!$M$3,0)),IF(U21=PLAYOFF_1aFASE!U$24,Pesos!$M$3,0))*IF(COUNTIF(U$3:U$23,U21)=1,2,1)</f>
        <v>0</v>
      </c>
      <c r="W21" s="49">
        <f>VLOOKUP($B21,Form_Playoff1aFase!$C$1:$AQ$44,22,FALSE)</f>
        <v>1</v>
      </c>
      <c r="X21" s="46" t="s">
        <v>98</v>
      </c>
      <c r="Y21" s="49">
        <f>VLOOKUP($B21,Form_Playoff1aFase!$C$1:$AQ$44,23,FALSE)</f>
        <v>2</v>
      </c>
      <c r="Z21" s="47" t="str">
        <f t="shared" si="5"/>
        <v>visita</v>
      </c>
      <c r="AA21" s="48">
        <f>IF(W21=PLAYOFF_1aFASE!W$24,IF(PLAYOFF_1aFASE!Y$24=Y21,Pesos!$M$6,IF(Z21=PLAYOFF_1aFASE!Z$24,Pesos!$M$3,0)),IF(Z21=PLAYOFF_1aFASE!Z$24,Pesos!$M$3,0))*IF(COUNTIF(Z$3:Z$23,Z21)=1,2,1)</f>
        <v>0.5</v>
      </c>
      <c r="AB21" s="49">
        <f>VLOOKUP($B21,Form_Playoff1aFase!$C$1:$AQ$44,27,FALSE)</f>
        <v>1</v>
      </c>
      <c r="AC21" s="46" t="s">
        <v>98</v>
      </c>
      <c r="AD21" s="49">
        <f>VLOOKUP($B21,Form_Playoff1aFase!$C$1:$AQ$44,28,FALSE)</f>
        <v>2</v>
      </c>
      <c r="AE21" s="47" t="str">
        <f t="shared" si="6"/>
        <v>visita</v>
      </c>
      <c r="AF21" s="48">
        <f>IF(AB21=PLAYOFF_1aFASE!AB$24,IF(PLAYOFF_1aFASE!AD$24=AD21,Pesos!$M$6,IF(AE21=PLAYOFF_1aFASE!AE$24,Pesos!$M$3,0)),IF(AE21=PLAYOFF_1aFASE!AE$24,Pesos!$M$3,0))*IF(COUNTIF(AE$3:AE$23,AE21)=1,2,1)</f>
        <v>0</v>
      </c>
      <c r="AG21" s="49">
        <f>VLOOKUP($B21,Form_Playoff1aFase!$C$1:$AQ$44,32,FALSE)</f>
        <v>1</v>
      </c>
      <c r="AH21" s="46" t="s">
        <v>98</v>
      </c>
      <c r="AI21" s="49">
        <f>VLOOKUP($B21,Form_Playoff1aFase!$C$1:$AQ$44,33,FALSE)</f>
        <v>2</v>
      </c>
      <c r="AJ21" s="47" t="str">
        <f t="shared" si="7"/>
        <v>visita</v>
      </c>
      <c r="AK21" s="48">
        <f>IF(AG21=PLAYOFF_1aFASE!AG$24,IF(PLAYOFF_1aFASE!AI$24=AI21,Pesos!$M$6,IF(AJ21=PLAYOFF_1aFASE!AJ$24,Pesos!$M$3,0)),IF(AJ21=PLAYOFF_1aFASE!AJ$24,Pesos!$M$3,0))*IF(COUNTIF(AJ$3:AJ$23,AJ21)=1,2,1)</f>
        <v>0</v>
      </c>
      <c r="AL21" s="49">
        <f>VLOOKUP($B21,Form_Playoff1aFase!$C$1:$AQ$44,37,FALSE)</f>
        <v>1</v>
      </c>
      <c r="AM21" s="46" t="s">
        <v>98</v>
      </c>
      <c r="AN21" s="49">
        <f>VLOOKUP($B21,Form_Playoff1aFase!$C$1:$AQ$44,38,FALSE)</f>
        <v>2</v>
      </c>
      <c r="AO21" s="47" t="str">
        <f t="shared" si="8"/>
        <v>visita</v>
      </c>
      <c r="AP21" s="48">
        <f>IF(AL21=PLAYOFF_1aFASE!AL$24,IF(PLAYOFF_1aFASE!AN$24=AN21,Pesos!$M$6,IF(AO21=PLAYOFF_1aFASE!AO$24,Pesos!$M$3,0)),IF(AO21=PLAYOFF_1aFASE!AO$24,Pesos!$M$3,0))*IF(COUNTIF(AO$3:AO$23,AO21)=1,2,1)</f>
        <v>0.5</v>
      </c>
      <c r="AQ21" s="41"/>
      <c r="AR21" s="41">
        <f t="shared" si="9"/>
        <v>4</v>
      </c>
    </row>
    <row r="22" ht="14.25" customHeight="1">
      <c r="A22" s="40"/>
      <c r="B22" s="52" t="s">
        <v>21</v>
      </c>
      <c r="C22" s="46">
        <f>VLOOKUP($B22,Form_Playoff1aFase!$C$1:$AQ$44,2,FALSE)</f>
        <v>1</v>
      </c>
      <c r="D22" s="9" t="s">
        <v>98</v>
      </c>
      <c r="E22" s="46">
        <f>VLOOKUP($B22,Form_Playoff1aFase!$C$1:$AQ$44,3,FALSE)</f>
        <v>2</v>
      </c>
      <c r="F22" s="47" t="str">
        <f t="shared" si="1"/>
        <v>visita</v>
      </c>
      <c r="G22" s="48">
        <f>IF(C22=PLAYOFF_1aFASE!C$24,IF(PLAYOFF_1aFASE!E$24=E22,Pesos!$M$6,IF(F22=PLAYOFF_1aFASE!F$24,Pesos!$M$3,0)),IF(F22=PLAYOFF_1aFASE!F$24,Pesos!$M$3,0))*IF(COUNTIF(F$3:F$23,F22)=1,2,1)</f>
        <v>0.5</v>
      </c>
      <c r="H22" s="49">
        <f>VLOOKUP($B22,Form_Playoff1aFase!$C$1:$AQ$44,7,FALSE)</f>
        <v>1</v>
      </c>
      <c r="I22" s="46" t="s">
        <v>98</v>
      </c>
      <c r="J22" s="49">
        <f>VLOOKUP($B22,Form_Playoff1aFase!$C$1:$AQ$44,8,FALSE)</f>
        <v>1</v>
      </c>
      <c r="K22" s="47" t="str">
        <f t="shared" si="2"/>
        <v>empate</v>
      </c>
      <c r="L22" s="48">
        <f>IF(H22=PLAYOFF_1aFASE!H$24,IF(PLAYOFF_1aFASE!J$24=J22,Pesos!$M$6,IF(K22=PLAYOFF_1aFASE!K$24,Pesos!$M$3,0)),IF(K22=PLAYOFF_1aFASE!K$24,Pesos!$M$3,0))*IF(COUNTIF(K$3:K$23,K22)=1,2,1)</f>
        <v>0</v>
      </c>
      <c r="M22" s="49">
        <f>VLOOKUP($B22,Form_Playoff1aFase!$C$1:$AQ$44,12,FALSE)</f>
        <v>1</v>
      </c>
      <c r="N22" s="46" t="s">
        <v>98</v>
      </c>
      <c r="O22" s="49">
        <f>VLOOKUP($B22,Form_Playoff1aFase!$C$1:$AQ$44,13,FALSE)</f>
        <v>3</v>
      </c>
      <c r="P22" s="47" t="str">
        <f t="shared" si="3"/>
        <v>visita</v>
      </c>
      <c r="Q22" s="48">
        <f>IF(M22=PLAYOFF_1aFASE!M$24,IF(PLAYOFF_1aFASE!O$24=O22,Pesos!$M$6,IF(P22=PLAYOFF_1aFASE!P$24,Pesos!$M$3,0)),IF(P22=PLAYOFF_1aFASE!P$24,Pesos!$M$3,0))*IF(COUNTIF(P$3:P$23,P22)=1,2,1)</f>
        <v>0.5</v>
      </c>
      <c r="R22" s="49">
        <f>VLOOKUP($B22,Form_Playoff1aFase!$C$1:$AQ$44,17,FALSE)</f>
        <v>2</v>
      </c>
      <c r="S22" s="46" t="s">
        <v>98</v>
      </c>
      <c r="T22" s="49">
        <f>VLOOKUP($B22,Form_Playoff1aFase!$C$1:$AQ$44,18,FALSE)</f>
        <v>0</v>
      </c>
      <c r="U22" s="47" t="str">
        <f t="shared" si="4"/>
        <v>casa</v>
      </c>
      <c r="V22" s="48">
        <f>IF(R22=PLAYOFF_1aFASE!R$24,IF(PLAYOFF_1aFASE!T$24=T22,Pesos!$M$6,IF(U22=PLAYOFF_1aFASE!U$24,Pesos!$M$3,0)),IF(U22=PLAYOFF_1aFASE!U$24,Pesos!$M$3,0))*IF(COUNTIF(U$3:U$23,U22)=1,2,1)</f>
        <v>3</v>
      </c>
      <c r="W22" s="49">
        <f>VLOOKUP($B22,Form_Playoff1aFase!$C$1:$AQ$44,22,FALSE)</f>
        <v>1</v>
      </c>
      <c r="X22" s="46" t="s">
        <v>98</v>
      </c>
      <c r="Y22" s="49">
        <f>VLOOKUP($B22,Form_Playoff1aFase!$C$1:$AQ$44,23,FALSE)</f>
        <v>1</v>
      </c>
      <c r="Z22" s="47" t="str">
        <f t="shared" si="5"/>
        <v>empate</v>
      </c>
      <c r="AA22" s="48">
        <f>IF(W22=PLAYOFF_1aFASE!W$24,IF(PLAYOFF_1aFASE!Y$24=Y22,Pesos!$M$6,IF(Z22=PLAYOFF_1aFASE!Z$24,Pesos!$M$3,0)),IF(Z22=PLAYOFF_1aFASE!Z$24,Pesos!$M$3,0))*IF(COUNTIF(Z$3:Z$23,Z22)=1,2,1)</f>
        <v>0</v>
      </c>
      <c r="AB22" s="49">
        <f>VLOOKUP($B22,Form_Playoff1aFase!$C$1:$AQ$44,27,FALSE)</f>
        <v>2</v>
      </c>
      <c r="AC22" s="46" t="s">
        <v>98</v>
      </c>
      <c r="AD22" s="49">
        <f>VLOOKUP($B22,Form_Playoff1aFase!$C$1:$AQ$44,28,FALSE)</f>
        <v>1</v>
      </c>
      <c r="AE22" s="47" t="str">
        <f t="shared" si="6"/>
        <v>casa</v>
      </c>
      <c r="AF22" s="48">
        <f>IF(AB22=PLAYOFF_1aFASE!AB$24,IF(PLAYOFF_1aFASE!AD$24=AD22,Pesos!$M$6,IF(AE22=PLAYOFF_1aFASE!AE$24,Pesos!$M$3,0)),IF(AE22=PLAYOFF_1aFASE!AE$24,Pesos!$M$3,0))*IF(COUNTIF(AE$3:AE$23,AE22)=1,2,1)</f>
        <v>0</v>
      </c>
      <c r="AG22" s="49">
        <f>VLOOKUP($B22,Form_Playoff1aFase!$C$1:$AQ$44,32,FALSE)</f>
        <v>1</v>
      </c>
      <c r="AH22" s="46" t="s">
        <v>98</v>
      </c>
      <c r="AI22" s="49">
        <f>VLOOKUP($B22,Form_Playoff1aFase!$C$1:$AQ$44,33,FALSE)</f>
        <v>2</v>
      </c>
      <c r="AJ22" s="47" t="str">
        <f t="shared" si="7"/>
        <v>visita</v>
      </c>
      <c r="AK22" s="48">
        <f>IF(AG22=PLAYOFF_1aFASE!AG$24,IF(PLAYOFF_1aFASE!AI$24=AI22,Pesos!$M$6,IF(AJ22=PLAYOFF_1aFASE!AJ$24,Pesos!$M$3,0)),IF(AJ22=PLAYOFF_1aFASE!AJ$24,Pesos!$M$3,0))*IF(COUNTIF(AJ$3:AJ$23,AJ22)=1,2,1)</f>
        <v>0</v>
      </c>
      <c r="AL22" s="49">
        <f>VLOOKUP($B22,Form_Playoff1aFase!$C$1:$AQ$44,37,FALSE)</f>
        <v>1</v>
      </c>
      <c r="AM22" s="46" t="s">
        <v>98</v>
      </c>
      <c r="AN22" s="49">
        <f>VLOOKUP($B22,Form_Playoff1aFase!$C$1:$AQ$44,38,FALSE)</f>
        <v>1</v>
      </c>
      <c r="AO22" s="47" t="str">
        <f t="shared" si="8"/>
        <v>empate</v>
      </c>
      <c r="AP22" s="48">
        <f>IF(AL22=PLAYOFF_1aFASE!AL$24,IF(PLAYOFF_1aFASE!AN$24=AN22,Pesos!$M$6,IF(AO22=PLAYOFF_1aFASE!AO$24,Pesos!$M$3,0)),IF(AO22=PLAYOFF_1aFASE!AO$24,Pesos!$M$3,0))*IF(COUNTIF(AO$3:AO$23,AO22)=1,2,1)</f>
        <v>0</v>
      </c>
      <c r="AQ22" s="41"/>
      <c r="AR22" s="41">
        <f t="shared" si="9"/>
        <v>3</v>
      </c>
    </row>
    <row r="23" ht="14.25" customHeight="1">
      <c r="A23" s="40"/>
      <c r="B23" s="52" t="s">
        <v>22</v>
      </c>
      <c r="C23" s="46">
        <f>VLOOKUP($B23,Form_Playoff1aFase!$C$1:$AQ$44,2,FALSE)</f>
        <v>0</v>
      </c>
      <c r="D23" s="46" t="s">
        <v>98</v>
      </c>
      <c r="E23" s="46">
        <f>VLOOKUP($B23,Form_Playoff1aFase!$C$1:$AQ$44,3,FALSE)</f>
        <v>2</v>
      </c>
      <c r="F23" s="47" t="str">
        <f t="shared" si="1"/>
        <v>visita</v>
      </c>
      <c r="G23" s="48">
        <f>IF(C23=PLAYOFF_1aFASE!C$24,IF(PLAYOFF_1aFASE!E$24=E23,Pesos!$M$6,IF(F23=PLAYOFF_1aFASE!F$24,Pesos!$M$3,0)),IF(F23=PLAYOFF_1aFASE!F$24,Pesos!$M$3,0))*IF(COUNTIF(F$3:F$23,F23)=1,2,1)</f>
        <v>0.5</v>
      </c>
      <c r="H23" s="49">
        <f>VLOOKUP($B23,Form_Playoff1aFase!$C$1:$AQ$44,7,FALSE)</f>
        <v>2</v>
      </c>
      <c r="I23" s="46" t="s">
        <v>98</v>
      </c>
      <c r="J23" s="49">
        <f>VLOOKUP($B23,Form_Playoff1aFase!$C$1:$AQ$44,8,FALSE)</f>
        <v>1</v>
      </c>
      <c r="K23" s="47" t="str">
        <f t="shared" si="2"/>
        <v>casa</v>
      </c>
      <c r="L23" s="48">
        <f>IF(H23=PLAYOFF_1aFASE!H$24,IF(PLAYOFF_1aFASE!J$24=J23,Pesos!$M$6,IF(K23=PLAYOFF_1aFASE!K$24,Pesos!$M$3,0)),IF(K23=PLAYOFF_1aFASE!K$24,Pesos!$M$3,0))*IF(COUNTIF(K$3:K$23,K23)=1,2,1)</f>
        <v>0.5</v>
      </c>
      <c r="M23" s="49">
        <f>VLOOKUP($B23,Form_Playoff1aFase!$C$1:$AQ$44,12,FALSE)</f>
        <v>1</v>
      </c>
      <c r="N23" s="46" t="s">
        <v>98</v>
      </c>
      <c r="O23" s="49">
        <f>VLOOKUP($B23,Form_Playoff1aFase!$C$1:$AQ$44,13,FALSE)</f>
        <v>2</v>
      </c>
      <c r="P23" s="47" t="str">
        <f t="shared" si="3"/>
        <v>visita</v>
      </c>
      <c r="Q23" s="48">
        <f>IF(M23=PLAYOFF_1aFASE!M$24,IF(PLAYOFF_1aFASE!O$24=O23,Pesos!$M$6,IF(P23=PLAYOFF_1aFASE!P$24,Pesos!$M$3,0)),IF(P23=PLAYOFF_1aFASE!P$24,Pesos!$M$3,0))*IF(COUNTIF(P$3:P$23,P23)=1,2,1)</f>
        <v>0.5</v>
      </c>
      <c r="R23" s="49">
        <f>VLOOKUP($B23,Form_Playoff1aFase!$C$1:$AQ$44,17,FALSE)</f>
        <v>2</v>
      </c>
      <c r="S23" s="46" t="s">
        <v>98</v>
      </c>
      <c r="T23" s="49">
        <f>VLOOKUP($B23,Form_Playoff1aFase!$C$1:$AQ$44,18,FALSE)</f>
        <v>0</v>
      </c>
      <c r="U23" s="47" t="str">
        <f t="shared" si="4"/>
        <v>casa</v>
      </c>
      <c r="V23" s="48">
        <f>IF(R23=PLAYOFF_1aFASE!R$24,IF(PLAYOFF_1aFASE!T$24=T23,Pesos!$M$6,IF(U23=PLAYOFF_1aFASE!U$24,Pesos!$M$3,0)),IF(U23=PLAYOFF_1aFASE!U$24,Pesos!$M$3,0))*IF(COUNTIF(U$3:U$23,U23)=1,2,1)</f>
        <v>3</v>
      </c>
      <c r="W23" s="49">
        <f>VLOOKUP($B23,Form_Playoff1aFase!$C$1:$AQ$44,22,FALSE)</f>
        <v>0</v>
      </c>
      <c r="X23" s="46" t="s">
        <v>98</v>
      </c>
      <c r="Y23" s="49">
        <f>VLOOKUP($B23,Form_Playoff1aFase!$C$1:$AQ$44,23,FALSE)</f>
        <v>2</v>
      </c>
      <c r="Z23" s="47" t="str">
        <f t="shared" si="5"/>
        <v>visita</v>
      </c>
      <c r="AA23" s="48">
        <f>IF(W23=PLAYOFF_1aFASE!W$24,IF(PLAYOFF_1aFASE!Y$24=Y23,Pesos!$M$6,IF(Z23=PLAYOFF_1aFASE!Z$24,Pesos!$M$3,0)),IF(Z23=PLAYOFF_1aFASE!Z$24,Pesos!$M$3,0))*IF(COUNTIF(Z$3:Z$23,Z23)=1,2,1)</f>
        <v>0.5</v>
      </c>
      <c r="AB23" s="49">
        <f>VLOOKUP($B23,Form_Playoff1aFase!$C$1:$AQ$44,27,FALSE)</f>
        <v>1</v>
      </c>
      <c r="AC23" s="46" t="s">
        <v>98</v>
      </c>
      <c r="AD23" s="49">
        <f>VLOOKUP($B23,Form_Playoff1aFase!$C$1:$AQ$44,28,FALSE)</f>
        <v>2</v>
      </c>
      <c r="AE23" s="47" t="str">
        <f t="shared" si="6"/>
        <v>visita</v>
      </c>
      <c r="AF23" s="48">
        <f>IF(AB23=PLAYOFF_1aFASE!AB$24,IF(PLAYOFF_1aFASE!AD$24=AD23,Pesos!$M$6,IF(AE23=PLAYOFF_1aFASE!AE$24,Pesos!$M$3,0)),IF(AE23=PLAYOFF_1aFASE!AE$24,Pesos!$M$3,0))*IF(COUNTIF(AE$3:AE$23,AE23)=1,2,1)</f>
        <v>0</v>
      </c>
      <c r="AG23" s="49">
        <f>VLOOKUP($B23,Form_Playoff1aFase!$C$1:$AQ$44,32,FALSE)</f>
        <v>0</v>
      </c>
      <c r="AH23" s="46" t="s">
        <v>98</v>
      </c>
      <c r="AI23" s="49">
        <f>VLOOKUP($B23,Form_Playoff1aFase!$C$1:$AQ$44,33,FALSE)</f>
        <v>2</v>
      </c>
      <c r="AJ23" s="47" t="str">
        <f t="shared" si="7"/>
        <v>visita</v>
      </c>
      <c r="AK23" s="48">
        <f>IF(AG23=PLAYOFF_1aFASE!AG$24,IF(PLAYOFF_1aFASE!AI$24=AI23,Pesos!$M$6,IF(AJ23=PLAYOFF_1aFASE!AJ$24,Pesos!$M$3,0)),IF(AJ23=PLAYOFF_1aFASE!AJ$24,Pesos!$M$3,0))*IF(COUNTIF(AJ$3:AJ$23,AJ23)=1,2,1)</f>
        <v>0</v>
      </c>
      <c r="AL23" s="49">
        <f>VLOOKUP($B23,Form_Playoff1aFase!$C$1:$AQ$44,37,FALSE)</f>
        <v>1</v>
      </c>
      <c r="AM23" s="46" t="s">
        <v>98</v>
      </c>
      <c r="AN23" s="49">
        <f>VLOOKUP($B23,Form_Playoff1aFase!$C$1:$AQ$44,38,FALSE)</f>
        <v>2</v>
      </c>
      <c r="AO23" s="47" t="str">
        <f t="shared" si="8"/>
        <v>visita</v>
      </c>
      <c r="AP23" s="48">
        <f>IF(AL23=PLAYOFF_1aFASE!AL$24,IF(PLAYOFF_1aFASE!AN$24=AN23,Pesos!$M$6,IF(AO23=PLAYOFF_1aFASE!AO$24,Pesos!$M$3,0)),IF(AO23=PLAYOFF_1aFASE!AO$24,Pesos!$M$3,0))*IF(COUNTIF(AO$3:AO$23,AO23)=1,2,1)</f>
        <v>0.5</v>
      </c>
      <c r="AQ23" s="41"/>
      <c r="AR23" s="41">
        <f t="shared" si="9"/>
        <v>6</v>
      </c>
    </row>
    <row r="24" ht="14.25" customHeight="1">
      <c r="A24" s="40"/>
      <c r="B24" s="53" t="s">
        <v>1</v>
      </c>
      <c r="C24" s="54">
        <v>2.0</v>
      </c>
      <c r="D24" s="54" t="s">
        <v>98</v>
      </c>
      <c r="E24" s="54">
        <v>3.0</v>
      </c>
      <c r="F24" s="55" t="str">
        <f>if(E24="","",IF(C24&gt;E24,"casa",IF(C24=E24,"empate","visita")))</f>
        <v>visita</v>
      </c>
      <c r="G24" s="55"/>
      <c r="H24" s="54">
        <v>5.0</v>
      </c>
      <c r="I24" s="54" t="s">
        <v>98</v>
      </c>
      <c r="J24" s="54">
        <v>2.0</v>
      </c>
      <c r="K24" s="55" t="str">
        <f>if(J24="","",IF(H24&gt;J24,"casa",IF(H24=J24,"empate","visita")))</f>
        <v>casa</v>
      </c>
      <c r="L24" s="55"/>
      <c r="M24" s="54">
        <v>0.0</v>
      </c>
      <c r="N24" s="54" t="s">
        <v>98</v>
      </c>
      <c r="O24" s="54">
        <v>1.0</v>
      </c>
      <c r="P24" s="55" t="str">
        <f>if(O24="","",IF(M24&gt;O24,"casa",IF(M24=O24,"empate","visita")))</f>
        <v>visita</v>
      </c>
      <c r="Q24" s="55"/>
      <c r="R24" s="54">
        <v>2.0</v>
      </c>
      <c r="S24" s="54" t="s">
        <v>98</v>
      </c>
      <c r="T24" s="49">
        <v>0.0</v>
      </c>
      <c r="U24" s="55" t="str">
        <f>if(T24="","",IF(R24&gt;T24,"casa",IF(R24=T24,"empate","visita")))</f>
        <v>casa</v>
      </c>
      <c r="V24" s="55"/>
      <c r="W24" s="54">
        <v>1.0</v>
      </c>
      <c r="X24" s="54" t="s">
        <v>98</v>
      </c>
      <c r="Y24" s="54">
        <v>6.0</v>
      </c>
      <c r="Z24" s="55" t="str">
        <f>if(Y24="","",IF(W24&gt;Y24,"casa",IF(W24=Y24,"empate","visita")))</f>
        <v>visita</v>
      </c>
      <c r="AA24" s="55"/>
      <c r="AB24" s="54">
        <v>3.0</v>
      </c>
      <c r="AC24" s="54" t="s">
        <v>98</v>
      </c>
      <c r="AD24" s="54">
        <v>3.0</v>
      </c>
      <c r="AE24" s="55" t="str">
        <f>if(AD24="","",IF(AB24&gt;AD24,"casa",IF(AB24=AD24,"empate","visita")))</f>
        <v>empate</v>
      </c>
      <c r="AF24" s="55"/>
      <c r="AG24" s="54">
        <v>3.0</v>
      </c>
      <c r="AH24" s="54" t="s">
        <v>98</v>
      </c>
      <c r="AI24" s="54">
        <v>1.0</v>
      </c>
      <c r="AJ24" s="55" t="str">
        <f>if(AI24="","",IF(AG24&gt;AI24,"casa",IF(AG24=AI24,"empate","visita")))</f>
        <v>casa</v>
      </c>
      <c r="AK24" s="55"/>
      <c r="AL24" s="54">
        <v>0.0</v>
      </c>
      <c r="AM24" s="54" t="s">
        <v>98</v>
      </c>
      <c r="AN24" s="54">
        <v>2.0</v>
      </c>
      <c r="AO24" s="55" t="str">
        <f>if(AN24="","",IF(AL24&gt;AN24,"casa",IF(AL24=AN24,"empate","visita")))</f>
        <v>visita</v>
      </c>
      <c r="AP24" s="55"/>
      <c r="AQ24" s="56"/>
      <c r="AR24" s="56"/>
    </row>
    <row r="25" ht="17.2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1"/>
      <c r="AR25" s="41"/>
    </row>
    <row r="26" ht="14.25" customHeight="1">
      <c r="A26" s="40"/>
      <c r="B26" s="1"/>
      <c r="C26" s="42" t="s">
        <v>99</v>
      </c>
      <c r="D26" s="43"/>
      <c r="E26" s="44"/>
      <c r="F26" s="1"/>
      <c r="G26" s="1"/>
      <c r="H26" s="42" t="s">
        <v>100</v>
      </c>
      <c r="I26" s="43"/>
      <c r="J26" s="44"/>
      <c r="K26" s="1"/>
      <c r="L26" s="1"/>
      <c r="M26" s="42" t="s">
        <v>101</v>
      </c>
      <c r="N26" s="43"/>
      <c r="O26" s="44"/>
      <c r="P26" s="1"/>
      <c r="Q26" s="1"/>
      <c r="R26" s="42" t="s">
        <v>102</v>
      </c>
      <c r="S26" s="43"/>
      <c r="T26" s="44"/>
      <c r="U26" s="1"/>
      <c r="V26" s="1"/>
      <c r="W26" s="42" t="s">
        <v>103</v>
      </c>
      <c r="X26" s="43"/>
      <c r="Y26" s="44"/>
      <c r="Z26" s="1"/>
      <c r="AA26" s="1"/>
      <c r="AB26" s="42" t="s">
        <v>104</v>
      </c>
      <c r="AC26" s="43"/>
      <c r="AD26" s="44"/>
      <c r="AE26" s="1"/>
      <c r="AF26" s="1"/>
      <c r="AG26" s="42" t="s">
        <v>105</v>
      </c>
      <c r="AH26" s="43"/>
      <c r="AI26" s="44"/>
      <c r="AJ26" s="1"/>
      <c r="AK26" s="1"/>
      <c r="AL26" s="42" t="s">
        <v>106</v>
      </c>
      <c r="AM26" s="43"/>
      <c r="AN26" s="44"/>
      <c r="AO26" s="1"/>
      <c r="AP26" s="1"/>
      <c r="AQ26" s="41"/>
      <c r="AR26" s="41"/>
    </row>
    <row r="27" ht="14.25" customHeight="1">
      <c r="A27" s="41"/>
      <c r="B27" s="45" t="s">
        <v>9</v>
      </c>
      <c r="C27" s="46">
        <f>VLOOKUP($B27,Form_Playoff1aFase!$C$1:$AQ$44,4,FALSE)</f>
        <v>2</v>
      </c>
      <c r="D27" s="9" t="s">
        <v>98</v>
      </c>
      <c r="E27" s="46">
        <f>VLOOKUP($B27,Form_Playoff1aFase!$C$1:$AQ$44,5,FALSE)</f>
        <v>1</v>
      </c>
      <c r="F27" s="47" t="str">
        <f t="shared" ref="F27:F47" si="10">IF(C27&gt;E27,"casa",IF(C27=E27,"empate","visita"))</f>
        <v>casa</v>
      </c>
      <c r="G27" s="48">
        <f>IF(C27=PLAYOFF_1aFASE!C$48,IF(PLAYOFF_1aFASE!E$48=E27,Pesos!$M$6,IF(F27=PLAYOFF_1aFASE!F$48,Pesos!$M$3,0)),IF(F27=PLAYOFF_1aFASE!F$48,Pesos!$M$3,0))*IF(COUNTIF(F$27:F$47,F27)=1,2,1)</f>
        <v>0</v>
      </c>
      <c r="H27" s="46">
        <f>VLOOKUP($B27,Form_Playoff1aFase!$C$1:$AQ$44,9,FALSE)</f>
        <v>3</v>
      </c>
      <c r="I27" s="9" t="s">
        <v>98</v>
      </c>
      <c r="J27" s="46">
        <f>VLOOKUP($B27,Form_Playoff1aFase!$C$1:$AQ$44,10,FALSE)</f>
        <v>1</v>
      </c>
      <c r="K27" s="47" t="str">
        <f t="shared" ref="K27:K47" si="11">IF(H27&gt;J27,"casa",IF(H27=J27,"empate","visita"))</f>
        <v>casa</v>
      </c>
      <c r="L27" s="48">
        <f>IF(H27=PLAYOFF_1aFASE!H$48,IF(PLAYOFF_1aFASE!J$48=J27,Pesos!$M$6,IF(K27=PLAYOFF_1aFASE!K$48,Pesos!$M$3,0)),IF(K27=PLAYOFF_1aFASE!K$48,Pesos!$M$3,0))*IF(COUNTIF(K$27:K$47,K27)=1,2,1)</f>
        <v>0.5</v>
      </c>
      <c r="M27" s="46">
        <f>VLOOKUP($B27,Form_Playoff1aFase!$C$1:$AQ$44,14,FALSE)</f>
        <v>3</v>
      </c>
      <c r="N27" s="9" t="s">
        <v>98</v>
      </c>
      <c r="O27" s="46">
        <f>VLOOKUP($B27,Form_Playoff1aFase!$C$1:$AQ$44,15,FALSE)</f>
        <v>1</v>
      </c>
      <c r="P27" s="47" t="str">
        <f t="shared" ref="P27:P47" si="12">IF(M27&gt;O27,"casa",IF(M27=O27,"empate","visita"))</f>
        <v>casa</v>
      </c>
      <c r="Q27" s="48">
        <f>IF(M27=PLAYOFF_1aFASE!M$48,IF(PLAYOFF_1aFASE!O$48=O27,Pesos!$M$6,IF(P27=PLAYOFF_1aFASE!P$48,Pesos!$M$3,0)),IF(P27=PLAYOFF_1aFASE!P$48,Pesos!$M$3,0))*IF(COUNTIF(P$27:P$47,P27)=1,2,1)</f>
        <v>0.5</v>
      </c>
      <c r="R27" s="46">
        <f>VLOOKUP($B27,Form_Playoff1aFase!$C$1:$AQ$44,19,FALSE)</f>
        <v>1</v>
      </c>
      <c r="S27" s="9" t="s">
        <v>98</v>
      </c>
      <c r="T27" s="46">
        <f>VLOOKUP($B27,Form_Playoff1aFase!$C$1:$AQ$44,20,FALSE)</f>
        <v>2</v>
      </c>
      <c r="U27" s="47" t="str">
        <f t="shared" ref="U27:U47" si="13">IF(R27&gt;T27,"casa",IF(R27=T27,"empate","visita"))</f>
        <v>visita</v>
      </c>
      <c r="V27" s="48">
        <f>IF(R27=PLAYOFF_1aFASE!R$48,IF(PLAYOFF_1aFASE!T$48=T27,Pesos!$M$6,IF(U27=PLAYOFF_1aFASE!U$48,Pesos!$M$3,0)),IF(U27=PLAYOFF_1aFASE!U$48,Pesos!$M$3,0))*IF(COUNTIF(U$27:U$47,U27)=1,2,1)</f>
        <v>0</v>
      </c>
      <c r="W27" s="46">
        <f>VLOOKUP($B27,Form_Playoff1aFase!$C$1:$AQ$44,24,FALSE)</f>
        <v>4</v>
      </c>
      <c r="X27" s="9" t="s">
        <v>98</v>
      </c>
      <c r="Y27" s="46">
        <f>VLOOKUP($B27,Form_Playoff1aFase!$C$1:$AQ$44,25,FALSE)</f>
        <v>1</v>
      </c>
      <c r="Z27" s="47" t="str">
        <f t="shared" ref="Z27:Z47" si="14">IF(W27&gt;Y27,"casa",IF(W27=Y27,"empate","visita"))</f>
        <v>casa</v>
      </c>
      <c r="AA27" s="48">
        <f>IF(W27=PLAYOFF_1aFASE!W$48,IF(PLAYOFF_1aFASE!Y$48=Y27,Pesos!$M$6,IF(Z27=PLAYOFF_1aFASE!Z$48,Pesos!$M$3,0)),IF(Z27=PLAYOFF_1aFASE!Z$48,Pesos!$M$3,0))*IF(COUNTIF(Z$27:Z$47,Z27)=1,2,1)</f>
        <v>0.5</v>
      </c>
      <c r="AB27" s="46">
        <f>VLOOKUP($B27,Form_Playoff1aFase!$C$1:$AQ$44,29,FALSE)</f>
        <v>1</v>
      </c>
      <c r="AC27" s="9" t="s">
        <v>98</v>
      </c>
      <c r="AD27" s="46">
        <f>VLOOKUP($B27,Form_Playoff1aFase!$C$1:$AQ$44,30,FALSE)</f>
        <v>0</v>
      </c>
      <c r="AE27" s="47" t="str">
        <f t="shared" ref="AE27:AE47" si="15">IF(AB27&gt;AD27,"casa",IF(AB27=AD27,"empate","visita"))</f>
        <v>casa</v>
      </c>
      <c r="AF27" s="48">
        <f>IF(AB27=PLAYOFF_1aFASE!AB$48,IF(PLAYOFF_1aFASE!AD$48=AD27,Pesos!$M$6,IF(AE27=PLAYOFF_1aFASE!AE$48,Pesos!$M$3,0)),IF(AE27=PLAYOFF_1aFASE!AE$48,Pesos!$M$3,0))*IF(COUNTIF(AE$27:AE$47,AE27)=1,2,1)</f>
        <v>0.5</v>
      </c>
      <c r="AG27" s="46">
        <f>VLOOKUP($B27,Form_Playoff1aFase!$C$1:$AQ$44,34,FALSE)</f>
        <v>2</v>
      </c>
      <c r="AH27" s="9" t="s">
        <v>98</v>
      </c>
      <c r="AI27" s="46">
        <f>VLOOKUP($B27,Form_Playoff1aFase!$C$1:$AQ$44,35,FALSE)</f>
        <v>0</v>
      </c>
      <c r="AJ27" s="47" t="str">
        <f t="shared" ref="AJ27:AJ47" si="16">IF(AG27&gt;AI27,"casa",IF(AG27=AI27,"empate","visita"))</f>
        <v>casa</v>
      </c>
      <c r="AK27" s="48">
        <f>IF(AG27=PLAYOFF_1aFASE!AG$48,IF(PLAYOFF_1aFASE!AI$48=AI27,Pesos!$M$6,IF(AJ27=PLAYOFF_1aFASE!AJ$48,Pesos!$M$3,0)),IF(AJ27=PLAYOFF_1aFASE!AJ$48,Pesos!$M$3,0))*IF(COUNTIF(AJ$27:AJ$47,AJ27)=1,2,1)</f>
        <v>0</v>
      </c>
      <c r="AL27" s="46">
        <f>VLOOKUP($B27,Form_Playoff1aFase!$C$1:$AQ$44,39,FALSE)</f>
        <v>3</v>
      </c>
      <c r="AM27" s="9" t="s">
        <v>98</v>
      </c>
      <c r="AN27" s="46">
        <f>VLOOKUP($B27,Form_Playoff1aFase!$C$1:$AQ$44,40,FALSE)</f>
        <v>1</v>
      </c>
      <c r="AO27" s="47" t="str">
        <f t="shared" ref="AO27:AO47" si="17">IF(AL27&gt;AN27,"casa",IF(AL27=AN27,"empate","visita"))</f>
        <v>casa</v>
      </c>
      <c r="AP27" s="48">
        <f>IF(AL27=PLAYOFF_1aFASE!AL$48,IF(PLAYOFF_1aFASE!AN$48=AN27,Pesos!$M$6,IF(AO27=PLAYOFF_1aFASE!AO$48,Pesos!$M$3,0)),IF(AO27=PLAYOFF_1aFASE!AO$48,Pesos!$M$3,0))*IF(COUNTIF(AO$27:AO$47,AO27)=1,2,1)</f>
        <v>0</v>
      </c>
      <c r="AQ27" s="41"/>
      <c r="AR27" s="41">
        <f t="shared" ref="AR27:AR47" si="18">IF(L27=0,0,1)+IF(Q27=0,0,1)+IF(V27=0,0,1)+IF(AA27=0,0,1)+IF(AF27=0,0,1)+IF(AK27=0,0,1)+IF(AP27=0,0,1)+IF(G27=0,0,1)</f>
        <v>4</v>
      </c>
    </row>
    <row r="28" ht="14.25" customHeight="1">
      <c r="A28" s="41"/>
      <c r="B28" s="51" t="s">
        <v>10</v>
      </c>
      <c r="C28" s="46">
        <f>VLOOKUP($B28,Form_Playoff1aFase!$C$1:$AQ$44,4,FALSE)</f>
        <v>3</v>
      </c>
      <c r="D28" s="48" t="s">
        <v>98</v>
      </c>
      <c r="E28" s="46">
        <f>VLOOKUP($B28,Form_Playoff1aFase!$C$1:$AQ$44,5,FALSE)</f>
        <v>0</v>
      </c>
      <c r="F28" s="47" t="str">
        <f t="shared" si="10"/>
        <v>casa</v>
      </c>
      <c r="G28" s="48">
        <f>IF(C28=PLAYOFF_1aFASE!C$48,IF(PLAYOFF_1aFASE!E$48=E28,Pesos!$M$6,IF(F28=PLAYOFF_1aFASE!F$48,Pesos!$M$3,0)),IF(F28=PLAYOFF_1aFASE!F$48,Pesos!$M$3,0))*IF(COUNTIF(F$27:F$47,F28)=1,2,1)</f>
        <v>0</v>
      </c>
      <c r="H28" s="46">
        <f>VLOOKUP($B28,Form_Playoff1aFase!$C$1:$AQ$44,9,FALSE)</f>
        <v>3</v>
      </c>
      <c r="I28" s="48" t="s">
        <v>98</v>
      </c>
      <c r="J28" s="46">
        <f>VLOOKUP($B28,Form_Playoff1aFase!$C$1:$AQ$44,10,FALSE)</f>
        <v>1</v>
      </c>
      <c r="K28" s="47" t="str">
        <f t="shared" si="11"/>
        <v>casa</v>
      </c>
      <c r="L28" s="48">
        <f>IF(H28=PLAYOFF_1aFASE!H$48,IF(PLAYOFF_1aFASE!J$48=J28,Pesos!$M$6,IF(K28=PLAYOFF_1aFASE!K$48,Pesos!$M$3,0)),IF(K28=PLAYOFF_1aFASE!K$48,Pesos!$M$3,0))*IF(COUNTIF(K$27:K$47,K28)=1,2,1)</f>
        <v>0.5</v>
      </c>
      <c r="M28" s="46">
        <f>VLOOKUP($B28,Form_Playoff1aFase!$C$1:$AQ$44,14,FALSE)</f>
        <v>3</v>
      </c>
      <c r="N28" s="9" t="s">
        <v>98</v>
      </c>
      <c r="O28" s="46">
        <f>VLOOKUP($B28,Form_Playoff1aFase!$C$1:$AQ$44,15,FALSE)</f>
        <v>1</v>
      </c>
      <c r="P28" s="47" t="str">
        <f t="shared" si="12"/>
        <v>casa</v>
      </c>
      <c r="Q28" s="48">
        <f>IF(M28=PLAYOFF_1aFASE!M$48,IF(PLAYOFF_1aFASE!O$48=O28,Pesos!$M$6,IF(P28=PLAYOFF_1aFASE!P$48,Pesos!$M$3,0)),IF(P28=PLAYOFF_1aFASE!P$48,Pesos!$M$3,0))*IF(COUNTIF(P$27:P$47,P28)=1,2,1)</f>
        <v>0.5</v>
      </c>
      <c r="R28" s="46">
        <f>VLOOKUP($B28,Form_Playoff1aFase!$C$1:$AQ$44,19,FALSE)</f>
        <v>3</v>
      </c>
      <c r="S28" s="48" t="s">
        <v>98</v>
      </c>
      <c r="T28" s="46">
        <f>VLOOKUP($B28,Form_Playoff1aFase!$C$1:$AQ$44,20,FALSE)</f>
        <v>1</v>
      </c>
      <c r="U28" s="47" t="str">
        <f t="shared" si="13"/>
        <v>casa</v>
      </c>
      <c r="V28" s="48">
        <f>IF(R28=PLAYOFF_1aFASE!R$48,IF(PLAYOFF_1aFASE!T$48=T28,Pesos!$M$6,IF(U28=PLAYOFF_1aFASE!U$48,Pesos!$M$3,0)),IF(U28=PLAYOFF_1aFASE!U$48,Pesos!$M$3,0))*IF(COUNTIF(U$27:U$47,U28)=1,2,1)</f>
        <v>0.5</v>
      </c>
      <c r="W28" s="46">
        <f>VLOOKUP($B28,Form_Playoff1aFase!$C$1:$AQ$44,24,FALSE)</f>
        <v>2</v>
      </c>
      <c r="X28" s="48" t="s">
        <v>98</v>
      </c>
      <c r="Y28" s="46">
        <f>VLOOKUP($B28,Form_Playoff1aFase!$C$1:$AQ$44,25,FALSE)</f>
        <v>1</v>
      </c>
      <c r="Z28" s="47" t="str">
        <f t="shared" si="14"/>
        <v>casa</v>
      </c>
      <c r="AA28" s="48">
        <f>IF(W28=PLAYOFF_1aFASE!W$48,IF(PLAYOFF_1aFASE!Y$48=Y28,Pesos!$M$6,IF(Z28=PLAYOFF_1aFASE!Z$48,Pesos!$M$3,0)),IF(Z28=PLAYOFF_1aFASE!Z$48,Pesos!$M$3,0))*IF(COUNTIF(Z$27:Z$47,Z28)=1,2,1)</f>
        <v>0.5</v>
      </c>
      <c r="AB28" s="46">
        <f>VLOOKUP($B28,Form_Playoff1aFase!$C$1:$AQ$44,29,FALSE)</f>
        <v>2</v>
      </c>
      <c r="AC28" s="48" t="s">
        <v>98</v>
      </c>
      <c r="AD28" s="46">
        <f>VLOOKUP($B28,Form_Playoff1aFase!$C$1:$AQ$44,30,FALSE)</f>
        <v>0</v>
      </c>
      <c r="AE28" s="47" t="str">
        <f t="shared" si="15"/>
        <v>casa</v>
      </c>
      <c r="AF28" s="48">
        <f>IF(AB28=PLAYOFF_1aFASE!AB$48,IF(PLAYOFF_1aFASE!AD$48=AD28,Pesos!$M$6,IF(AE28=PLAYOFF_1aFASE!AE$48,Pesos!$M$3,0)),IF(AE28=PLAYOFF_1aFASE!AE$48,Pesos!$M$3,0))*IF(COUNTIF(AE$27:AE$47,AE28)=1,2,1)</f>
        <v>0.5</v>
      </c>
      <c r="AG28" s="46">
        <f>VLOOKUP($B28,Form_Playoff1aFase!$C$1:$AQ$44,34,FALSE)</f>
        <v>2</v>
      </c>
      <c r="AH28" s="48" t="s">
        <v>98</v>
      </c>
      <c r="AI28" s="46">
        <f>VLOOKUP($B28,Form_Playoff1aFase!$C$1:$AQ$44,35,FALSE)</f>
        <v>0</v>
      </c>
      <c r="AJ28" s="47" t="str">
        <f t="shared" si="16"/>
        <v>casa</v>
      </c>
      <c r="AK28" s="48">
        <f>IF(AG28=PLAYOFF_1aFASE!AG$48,IF(PLAYOFF_1aFASE!AI$48=AI28,Pesos!$M$6,IF(AJ28=PLAYOFF_1aFASE!AJ$48,Pesos!$M$3,0)),IF(AJ28=PLAYOFF_1aFASE!AJ$48,Pesos!$M$3,0))*IF(COUNTIF(AJ$27:AJ$47,AJ28)=1,2,1)</f>
        <v>0</v>
      </c>
      <c r="AL28" s="46">
        <f>VLOOKUP($B28,Form_Playoff1aFase!$C$1:$AQ$44,39,FALSE)</f>
        <v>3</v>
      </c>
      <c r="AM28" s="48" t="s">
        <v>98</v>
      </c>
      <c r="AN28" s="46">
        <f>VLOOKUP($B28,Form_Playoff1aFase!$C$1:$AQ$44,40,FALSE)</f>
        <v>1</v>
      </c>
      <c r="AO28" s="47" t="str">
        <f t="shared" si="17"/>
        <v>casa</v>
      </c>
      <c r="AP28" s="48">
        <f>IF(AL28=PLAYOFF_1aFASE!AL$48,IF(PLAYOFF_1aFASE!AN$48=AN28,Pesos!$M$6,IF(AO28=PLAYOFF_1aFASE!AO$48,Pesos!$M$3,0)),IF(AO28=PLAYOFF_1aFASE!AO$48,Pesos!$M$3,0))*IF(COUNTIF(AO$27:AO$47,AO28)=1,2,1)</f>
        <v>0</v>
      </c>
      <c r="AQ28" s="41"/>
      <c r="AR28" s="41">
        <f t="shared" si="18"/>
        <v>5</v>
      </c>
    </row>
    <row r="29" ht="14.25" customHeight="1">
      <c r="A29" s="41"/>
      <c r="B29" s="51" t="s">
        <v>17</v>
      </c>
      <c r="C29" s="46">
        <f>VLOOKUP($B29,Form_Playoff1aFase!$C$1:$AQ$44,4,FALSE)</f>
        <v>4</v>
      </c>
      <c r="D29" s="9" t="s">
        <v>98</v>
      </c>
      <c r="E29" s="46">
        <f>VLOOKUP($B29,Form_Playoff1aFase!$C$1:$AQ$44,5,FALSE)</f>
        <v>0</v>
      </c>
      <c r="F29" s="47" t="str">
        <f t="shared" si="10"/>
        <v>casa</v>
      </c>
      <c r="G29" s="48">
        <f>IF(C29=PLAYOFF_1aFASE!C$48,IF(PLAYOFF_1aFASE!E$48=E29,Pesos!$M$6,IF(F29=PLAYOFF_1aFASE!F$48,Pesos!$M$3,0)),IF(F29=PLAYOFF_1aFASE!F$48,Pesos!$M$3,0))*IF(COUNTIF(F$27:F$47,F29)=1,2,1)</f>
        <v>0</v>
      </c>
      <c r="H29" s="46">
        <f>VLOOKUP($B29,Form_Playoff1aFase!$C$1:$AQ$44,9,FALSE)</f>
        <v>1</v>
      </c>
      <c r="I29" s="9" t="s">
        <v>98</v>
      </c>
      <c r="J29" s="46">
        <f>VLOOKUP($B29,Form_Playoff1aFase!$C$1:$AQ$44,10,FALSE)</f>
        <v>0</v>
      </c>
      <c r="K29" s="47" t="str">
        <f t="shared" si="11"/>
        <v>casa</v>
      </c>
      <c r="L29" s="48">
        <f>IF(H29=PLAYOFF_1aFASE!H$48,IF(PLAYOFF_1aFASE!J$48=J29,Pesos!$M$6,IF(K29=PLAYOFF_1aFASE!K$48,Pesos!$M$3,0)),IF(K29=PLAYOFF_1aFASE!K$48,Pesos!$M$3,0))*IF(COUNTIF(K$27:K$47,K29)=1,2,1)</f>
        <v>0.5</v>
      </c>
      <c r="M29" s="46">
        <f>VLOOKUP($B29,Form_Playoff1aFase!$C$1:$AQ$44,14,FALSE)</f>
        <v>3</v>
      </c>
      <c r="N29" s="9" t="s">
        <v>98</v>
      </c>
      <c r="O29" s="46">
        <f>VLOOKUP($B29,Form_Playoff1aFase!$C$1:$AQ$44,15,FALSE)</f>
        <v>0</v>
      </c>
      <c r="P29" s="47" t="str">
        <f t="shared" si="12"/>
        <v>casa</v>
      </c>
      <c r="Q29" s="48">
        <f>IF(M29=PLAYOFF_1aFASE!M$48,IF(PLAYOFF_1aFASE!O$48=O29,Pesos!$M$6,IF(P29=PLAYOFF_1aFASE!P$48,Pesos!$M$3,0)),IF(P29=PLAYOFF_1aFASE!P$48,Pesos!$M$3,0))*IF(COUNTIF(P$27:P$47,P29)=1,2,1)</f>
        <v>0.5</v>
      </c>
      <c r="R29" s="46">
        <f>VLOOKUP($B29,Form_Playoff1aFase!$C$1:$AQ$44,19,FALSE)</f>
        <v>2</v>
      </c>
      <c r="S29" s="9" t="s">
        <v>98</v>
      </c>
      <c r="T29" s="46">
        <f>VLOOKUP($B29,Form_Playoff1aFase!$C$1:$AQ$44,20,FALSE)</f>
        <v>2</v>
      </c>
      <c r="U29" s="47" t="str">
        <f t="shared" si="13"/>
        <v>empate</v>
      </c>
      <c r="V29" s="48">
        <f>IF(R29=PLAYOFF_1aFASE!R$48,IF(PLAYOFF_1aFASE!T$48=T29,Pesos!$M$6,IF(U29=PLAYOFF_1aFASE!U$48,Pesos!$M$3,0)),IF(U29=PLAYOFF_1aFASE!U$48,Pesos!$M$3,0))*IF(COUNTIF(U$27:U$47,U29)=1,2,1)</f>
        <v>0</v>
      </c>
      <c r="W29" s="46">
        <f>VLOOKUP($B29,Form_Playoff1aFase!$C$1:$AQ$44,24,FALSE)</f>
        <v>1</v>
      </c>
      <c r="X29" s="9" t="s">
        <v>98</v>
      </c>
      <c r="Y29" s="46">
        <f>VLOOKUP($B29,Form_Playoff1aFase!$C$1:$AQ$44,25,FALSE)</f>
        <v>0</v>
      </c>
      <c r="Z29" s="47" t="str">
        <f t="shared" si="14"/>
        <v>casa</v>
      </c>
      <c r="AA29" s="48">
        <f>IF(W29=PLAYOFF_1aFASE!W$48,IF(PLAYOFF_1aFASE!Y$48=Y29,Pesos!$M$6,IF(Z29=PLAYOFF_1aFASE!Z$48,Pesos!$M$3,0)),IF(Z29=PLAYOFF_1aFASE!Z$48,Pesos!$M$3,0))*IF(COUNTIF(Z$27:Z$47,Z29)=1,2,1)</f>
        <v>0.5</v>
      </c>
      <c r="AB29" s="46">
        <f>VLOOKUP($B29,Form_Playoff1aFase!$C$1:$AQ$44,29,FALSE)</f>
        <v>2</v>
      </c>
      <c r="AC29" s="9" t="s">
        <v>98</v>
      </c>
      <c r="AD29" s="46">
        <f>VLOOKUP($B29,Form_Playoff1aFase!$C$1:$AQ$44,30,FALSE)</f>
        <v>1</v>
      </c>
      <c r="AE29" s="47" t="str">
        <f t="shared" si="15"/>
        <v>casa</v>
      </c>
      <c r="AF29" s="48">
        <f>IF(AB29=PLAYOFF_1aFASE!AB$48,IF(PLAYOFF_1aFASE!AD$48=AD29,Pesos!$M$6,IF(AE29=PLAYOFF_1aFASE!AE$48,Pesos!$M$3,0)),IF(AE29=PLAYOFF_1aFASE!AE$48,Pesos!$M$3,0))*IF(COUNTIF(AE$27:AE$47,AE29)=1,2,1)</f>
        <v>0.5</v>
      </c>
      <c r="AG29" s="46">
        <f>VLOOKUP($B29,Form_Playoff1aFase!$C$1:$AQ$44,34,FALSE)</f>
        <v>2</v>
      </c>
      <c r="AH29" s="9" t="s">
        <v>98</v>
      </c>
      <c r="AI29" s="46">
        <f>VLOOKUP($B29,Form_Playoff1aFase!$C$1:$AQ$44,35,FALSE)</f>
        <v>0</v>
      </c>
      <c r="AJ29" s="47" t="str">
        <f t="shared" si="16"/>
        <v>casa</v>
      </c>
      <c r="AK29" s="48">
        <f>IF(AG29=PLAYOFF_1aFASE!AG$48,IF(PLAYOFF_1aFASE!AI$48=AI29,Pesos!$M$6,IF(AJ29=PLAYOFF_1aFASE!AJ$48,Pesos!$M$3,0)),IF(AJ29=PLAYOFF_1aFASE!AJ$48,Pesos!$M$3,0))*IF(COUNTIF(AJ$27:AJ$47,AJ29)=1,2,1)</f>
        <v>0</v>
      </c>
      <c r="AL29" s="46">
        <f>VLOOKUP($B29,Form_Playoff1aFase!$C$1:$AQ$44,39,FALSE)</f>
        <v>2</v>
      </c>
      <c r="AM29" s="9" t="s">
        <v>98</v>
      </c>
      <c r="AN29" s="46">
        <f>VLOOKUP($B29,Form_Playoff1aFase!$C$1:$AQ$44,40,FALSE)</f>
        <v>0</v>
      </c>
      <c r="AO29" s="47" t="str">
        <f t="shared" si="17"/>
        <v>casa</v>
      </c>
      <c r="AP29" s="48">
        <f>IF(AL29=PLAYOFF_1aFASE!AL$48,IF(PLAYOFF_1aFASE!AN$48=AN29,Pesos!$M$6,IF(AO29=PLAYOFF_1aFASE!AO$48,Pesos!$M$3,0)),IF(AO29=PLAYOFF_1aFASE!AO$48,Pesos!$M$3,0))*IF(COUNTIF(AO$27:AO$47,AO29)=1,2,1)</f>
        <v>0</v>
      </c>
      <c r="AQ29" s="41"/>
      <c r="AR29" s="41">
        <f t="shared" si="18"/>
        <v>4</v>
      </c>
    </row>
    <row r="30" ht="14.25" customHeight="1">
      <c r="A30" s="41"/>
      <c r="B30" s="51" t="s">
        <v>3</v>
      </c>
      <c r="C30" s="46">
        <f>VLOOKUP($B30,Form_Playoff1aFase!$C$1:$AQ$44,4,FALSE)</f>
        <v>3</v>
      </c>
      <c r="D30" s="9" t="s">
        <v>98</v>
      </c>
      <c r="E30" s="46">
        <f>VLOOKUP($B30,Form_Playoff1aFase!$C$1:$AQ$44,5,FALSE)</f>
        <v>2</v>
      </c>
      <c r="F30" s="47" t="str">
        <f t="shared" si="10"/>
        <v>casa</v>
      </c>
      <c r="G30" s="48">
        <f>IF(C30=PLAYOFF_1aFASE!C$48,IF(PLAYOFF_1aFASE!E$48=E30,Pesos!$M$6,IF(F30=PLAYOFF_1aFASE!F$48,Pesos!$M$3,0)),IF(F30=PLAYOFF_1aFASE!F$48,Pesos!$M$3,0))*IF(COUNTIF(F$27:F$47,F30)=1,2,1)</f>
        <v>0</v>
      </c>
      <c r="H30" s="46">
        <f>VLOOKUP($B30,Form_Playoff1aFase!$C$1:$AQ$44,9,FALSE)</f>
        <v>1</v>
      </c>
      <c r="I30" s="9" t="s">
        <v>98</v>
      </c>
      <c r="J30" s="46">
        <f>VLOOKUP($B30,Form_Playoff1aFase!$C$1:$AQ$44,10,FALSE)</f>
        <v>0</v>
      </c>
      <c r="K30" s="47" t="str">
        <f t="shared" si="11"/>
        <v>casa</v>
      </c>
      <c r="L30" s="48">
        <f>IF(H30=PLAYOFF_1aFASE!H$48,IF(PLAYOFF_1aFASE!J$48=J30,Pesos!$M$6,IF(K30=PLAYOFF_1aFASE!K$48,Pesos!$M$3,0)),IF(K30=PLAYOFF_1aFASE!K$48,Pesos!$M$3,0))*IF(COUNTIF(K$27:K$47,K30)=1,2,1)</f>
        <v>0.5</v>
      </c>
      <c r="M30" s="46">
        <f>VLOOKUP($B30,Form_Playoff1aFase!$C$1:$AQ$44,14,FALSE)</f>
        <v>2</v>
      </c>
      <c r="N30" s="9" t="s">
        <v>98</v>
      </c>
      <c r="O30" s="46">
        <f>VLOOKUP($B30,Form_Playoff1aFase!$C$1:$AQ$44,15,FALSE)</f>
        <v>0</v>
      </c>
      <c r="P30" s="47" t="str">
        <f t="shared" si="12"/>
        <v>casa</v>
      </c>
      <c r="Q30" s="48">
        <f>IF(M30=PLAYOFF_1aFASE!M$48,IF(PLAYOFF_1aFASE!O$48=O30,Pesos!$M$6,IF(P30=PLAYOFF_1aFASE!P$48,Pesos!$M$3,0)),IF(P30=PLAYOFF_1aFASE!P$48,Pesos!$M$3,0))*IF(COUNTIF(P$27:P$47,P30)=1,2,1)</f>
        <v>0.5</v>
      </c>
      <c r="R30" s="46">
        <f>VLOOKUP($B30,Form_Playoff1aFase!$C$1:$AQ$44,19,FALSE)</f>
        <v>1</v>
      </c>
      <c r="S30" s="9" t="s">
        <v>98</v>
      </c>
      <c r="T30" s="46">
        <f>VLOOKUP($B30,Form_Playoff1aFase!$C$1:$AQ$44,20,FALSE)</f>
        <v>2</v>
      </c>
      <c r="U30" s="47" t="str">
        <f t="shared" si="13"/>
        <v>visita</v>
      </c>
      <c r="V30" s="48">
        <f>IF(R30=PLAYOFF_1aFASE!R$48,IF(PLAYOFF_1aFASE!T$48=T30,Pesos!$M$6,IF(U30=PLAYOFF_1aFASE!U$48,Pesos!$M$3,0)),IF(U30=PLAYOFF_1aFASE!U$48,Pesos!$M$3,0))*IF(COUNTIF(U$27:U$47,U30)=1,2,1)</f>
        <v>0</v>
      </c>
      <c r="W30" s="46">
        <f>VLOOKUP($B30,Form_Playoff1aFase!$C$1:$AQ$44,24,FALSE)</f>
        <v>3</v>
      </c>
      <c r="X30" s="9" t="s">
        <v>98</v>
      </c>
      <c r="Y30" s="46">
        <f>VLOOKUP($B30,Form_Playoff1aFase!$C$1:$AQ$44,25,FALSE)</f>
        <v>0</v>
      </c>
      <c r="Z30" s="47" t="str">
        <f t="shared" si="14"/>
        <v>casa</v>
      </c>
      <c r="AA30" s="48">
        <f>IF(W30=PLAYOFF_1aFASE!W$48,IF(PLAYOFF_1aFASE!Y$48=Y30,Pesos!$M$6,IF(Z30=PLAYOFF_1aFASE!Z$48,Pesos!$M$3,0)),IF(Z30=PLAYOFF_1aFASE!Z$48,Pesos!$M$3,0))*IF(COUNTIF(Z$27:Z$47,Z30)=1,2,1)</f>
        <v>0.5</v>
      </c>
      <c r="AB30" s="46">
        <f>VLOOKUP($B30,Form_Playoff1aFase!$C$1:$AQ$44,29,FALSE)</f>
        <v>2</v>
      </c>
      <c r="AC30" s="9" t="s">
        <v>98</v>
      </c>
      <c r="AD30" s="46">
        <f>VLOOKUP($B30,Form_Playoff1aFase!$C$1:$AQ$44,30,FALSE)</f>
        <v>1</v>
      </c>
      <c r="AE30" s="47" t="str">
        <f t="shared" si="15"/>
        <v>casa</v>
      </c>
      <c r="AF30" s="48">
        <f>IF(AB30=PLAYOFF_1aFASE!AB$48,IF(PLAYOFF_1aFASE!AD$48=AD30,Pesos!$M$6,IF(AE30=PLAYOFF_1aFASE!AE$48,Pesos!$M$3,0)),IF(AE30=PLAYOFF_1aFASE!AE$48,Pesos!$M$3,0))*IF(COUNTIF(AE$27:AE$47,AE30)=1,2,1)</f>
        <v>0.5</v>
      </c>
      <c r="AG30" s="46">
        <f>VLOOKUP($B30,Form_Playoff1aFase!$C$1:$AQ$44,34,FALSE)</f>
        <v>4</v>
      </c>
      <c r="AH30" s="9" t="s">
        <v>98</v>
      </c>
      <c r="AI30" s="46">
        <f>VLOOKUP($B30,Form_Playoff1aFase!$C$1:$AQ$44,35,FALSE)</f>
        <v>0</v>
      </c>
      <c r="AJ30" s="47" t="str">
        <f t="shared" si="16"/>
        <v>casa</v>
      </c>
      <c r="AK30" s="48">
        <f>IF(AG30=PLAYOFF_1aFASE!AG$48,IF(PLAYOFF_1aFASE!AI$48=AI30,Pesos!$M$6,IF(AJ30=PLAYOFF_1aFASE!AJ$48,Pesos!$M$3,0)),IF(AJ30=PLAYOFF_1aFASE!AJ$48,Pesos!$M$3,0))*IF(COUNTIF(AJ$27:AJ$47,AJ30)=1,2,1)</f>
        <v>0</v>
      </c>
      <c r="AL30" s="46">
        <f>VLOOKUP($B30,Form_Playoff1aFase!$C$1:$AQ$44,39,FALSE)</f>
        <v>1</v>
      </c>
      <c r="AM30" s="9" t="s">
        <v>98</v>
      </c>
      <c r="AN30" s="46">
        <f>VLOOKUP($B30,Form_Playoff1aFase!$C$1:$AQ$44,40,FALSE)</f>
        <v>0</v>
      </c>
      <c r="AO30" s="47" t="str">
        <f t="shared" si="17"/>
        <v>casa</v>
      </c>
      <c r="AP30" s="48">
        <f>IF(AL30=PLAYOFF_1aFASE!AL$48,IF(PLAYOFF_1aFASE!AN$48=AN30,Pesos!$M$6,IF(AO30=PLAYOFF_1aFASE!AO$48,Pesos!$M$3,0)),IF(AO30=PLAYOFF_1aFASE!AO$48,Pesos!$M$3,0))*IF(COUNTIF(AO$27:AO$47,AO30)=1,2,1)</f>
        <v>0</v>
      </c>
      <c r="AQ30" s="41"/>
      <c r="AR30" s="41">
        <f t="shared" si="18"/>
        <v>4</v>
      </c>
    </row>
    <row r="31" ht="14.25" customHeight="1">
      <c r="A31" s="41"/>
      <c r="B31" s="51" t="s">
        <v>13</v>
      </c>
      <c r="C31" s="46">
        <f>VLOOKUP($B31,Form_Playoff1aFase!$C$1:$AQ$44,4,FALSE)</f>
        <v>2</v>
      </c>
      <c r="D31" s="9" t="s">
        <v>98</v>
      </c>
      <c r="E31" s="46">
        <f>VLOOKUP($B31,Form_Playoff1aFase!$C$1:$AQ$44,5,FALSE)</f>
        <v>0</v>
      </c>
      <c r="F31" s="47" t="str">
        <f t="shared" si="10"/>
        <v>casa</v>
      </c>
      <c r="G31" s="48">
        <f>IF(C31=PLAYOFF_1aFASE!C$48,IF(PLAYOFF_1aFASE!E$48=E31,Pesos!$M$6,IF(F31=PLAYOFF_1aFASE!F$48,Pesos!$M$3,0)),IF(F31=PLAYOFF_1aFASE!F$48,Pesos!$M$3,0))*IF(COUNTIF(F$27:F$47,F31)=1,2,1)</f>
        <v>0</v>
      </c>
      <c r="H31" s="46">
        <f>VLOOKUP($B31,Form_Playoff1aFase!$C$1:$AQ$44,9,FALSE)</f>
        <v>2</v>
      </c>
      <c r="I31" s="9" t="s">
        <v>98</v>
      </c>
      <c r="J31" s="46">
        <f>VLOOKUP($B31,Form_Playoff1aFase!$C$1:$AQ$44,10,FALSE)</f>
        <v>0</v>
      </c>
      <c r="K31" s="47" t="str">
        <f t="shared" si="11"/>
        <v>casa</v>
      </c>
      <c r="L31" s="48">
        <f>IF(H31=PLAYOFF_1aFASE!H$48,IF(PLAYOFF_1aFASE!J$48=J31,Pesos!$M$6,IF(K31=PLAYOFF_1aFASE!K$48,Pesos!$M$3,0)),IF(K31=PLAYOFF_1aFASE!K$48,Pesos!$M$3,0))*IF(COUNTIF(K$27:K$47,K31)=1,2,1)</f>
        <v>0.5</v>
      </c>
      <c r="M31" s="46">
        <f>VLOOKUP($B31,Form_Playoff1aFase!$C$1:$AQ$44,14,FALSE)</f>
        <v>2</v>
      </c>
      <c r="N31" s="9" t="s">
        <v>98</v>
      </c>
      <c r="O31" s="46">
        <f>VLOOKUP($B31,Form_Playoff1aFase!$C$1:$AQ$44,15,FALSE)</f>
        <v>0</v>
      </c>
      <c r="P31" s="47" t="str">
        <f t="shared" si="12"/>
        <v>casa</v>
      </c>
      <c r="Q31" s="48">
        <f>IF(M31=PLAYOFF_1aFASE!M$48,IF(PLAYOFF_1aFASE!O$48=O31,Pesos!$M$6,IF(P31=PLAYOFF_1aFASE!P$48,Pesos!$M$3,0)),IF(P31=PLAYOFF_1aFASE!P$48,Pesos!$M$3,0))*IF(COUNTIF(P$27:P$47,P31)=1,2,1)</f>
        <v>0.5</v>
      </c>
      <c r="R31" s="46">
        <f>VLOOKUP($B31,Form_Playoff1aFase!$C$1:$AQ$44,19,FALSE)</f>
        <v>1</v>
      </c>
      <c r="S31" s="9" t="s">
        <v>98</v>
      </c>
      <c r="T31" s="46">
        <f>VLOOKUP($B31,Form_Playoff1aFase!$C$1:$AQ$44,20,FALSE)</f>
        <v>1</v>
      </c>
      <c r="U31" s="47" t="str">
        <f t="shared" si="13"/>
        <v>empate</v>
      </c>
      <c r="V31" s="48">
        <f>IF(R31=PLAYOFF_1aFASE!R$48,IF(PLAYOFF_1aFASE!T$48=T31,Pesos!$M$6,IF(U31=PLAYOFF_1aFASE!U$48,Pesos!$M$3,0)),IF(U31=PLAYOFF_1aFASE!U$48,Pesos!$M$3,0))*IF(COUNTIF(U$27:U$47,U31)=1,2,1)</f>
        <v>0</v>
      </c>
      <c r="W31" s="46">
        <f>VLOOKUP($B31,Form_Playoff1aFase!$C$1:$AQ$44,24,FALSE)</f>
        <v>3</v>
      </c>
      <c r="X31" s="9" t="s">
        <v>98</v>
      </c>
      <c r="Y31" s="46">
        <f>VLOOKUP($B31,Form_Playoff1aFase!$C$1:$AQ$44,25,FALSE)</f>
        <v>0</v>
      </c>
      <c r="Z31" s="47" t="str">
        <f t="shared" si="14"/>
        <v>casa</v>
      </c>
      <c r="AA31" s="48">
        <f>IF(W31=PLAYOFF_1aFASE!W$48,IF(PLAYOFF_1aFASE!Y$48=Y31,Pesos!$M$6,IF(Z31=PLAYOFF_1aFASE!Z$48,Pesos!$M$3,0)),IF(Z31=PLAYOFF_1aFASE!Z$48,Pesos!$M$3,0))*IF(COUNTIF(Z$27:Z$47,Z31)=1,2,1)</f>
        <v>0.5</v>
      </c>
      <c r="AB31" s="46">
        <f>VLOOKUP($B31,Form_Playoff1aFase!$C$1:$AQ$44,29,FALSE)</f>
        <v>2</v>
      </c>
      <c r="AC31" s="9" t="s">
        <v>98</v>
      </c>
      <c r="AD31" s="46">
        <f>VLOOKUP($B31,Form_Playoff1aFase!$C$1:$AQ$44,30,FALSE)</f>
        <v>0</v>
      </c>
      <c r="AE31" s="47" t="str">
        <f t="shared" si="15"/>
        <v>casa</v>
      </c>
      <c r="AF31" s="48">
        <f>IF(AB31=PLAYOFF_1aFASE!AB$48,IF(PLAYOFF_1aFASE!AD$48=AD31,Pesos!$M$6,IF(AE31=PLAYOFF_1aFASE!AE$48,Pesos!$M$3,0)),IF(AE31=PLAYOFF_1aFASE!AE$48,Pesos!$M$3,0))*IF(COUNTIF(AE$27:AE$47,AE31)=1,2,1)</f>
        <v>0.5</v>
      </c>
      <c r="AG31" s="46">
        <f>VLOOKUP($B31,Form_Playoff1aFase!$C$1:$AQ$44,34,FALSE)</f>
        <v>3</v>
      </c>
      <c r="AH31" s="9" t="s">
        <v>98</v>
      </c>
      <c r="AI31" s="46">
        <f>VLOOKUP($B31,Form_Playoff1aFase!$C$1:$AQ$44,35,FALSE)</f>
        <v>0</v>
      </c>
      <c r="AJ31" s="47" t="str">
        <f t="shared" si="16"/>
        <v>casa</v>
      </c>
      <c r="AK31" s="48">
        <f>IF(AG31=PLAYOFF_1aFASE!AG$48,IF(PLAYOFF_1aFASE!AI$48=AI31,Pesos!$M$6,IF(AJ31=PLAYOFF_1aFASE!AJ$48,Pesos!$M$3,0)),IF(AJ31=PLAYOFF_1aFASE!AJ$48,Pesos!$M$3,0))*IF(COUNTIF(AJ$27:AJ$47,AJ31)=1,2,1)</f>
        <v>0</v>
      </c>
      <c r="AL31" s="46">
        <f>VLOOKUP($B31,Form_Playoff1aFase!$C$1:$AQ$44,39,FALSE)</f>
        <v>2</v>
      </c>
      <c r="AM31" s="9" t="s">
        <v>98</v>
      </c>
      <c r="AN31" s="46">
        <f>VLOOKUP($B31,Form_Playoff1aFase!$C$1:$AQ$44,40,FALSE)</f>
        <v>0</v>
      </c>
      <c r="AO31" s="47" t="str">
        <f t="shared" si="17"/>
        <v>casa</v>
      </c>
      <c r="AP31" s="48">
        <f>IF(AL31=PLAYOFF_1aFASE!AL$48,IF(PLAYOFF_1aFASE!AN$48=AN31,Pesos!$M$6,IF(AO31=PLAYOFF_1aFASE!AO$48,Pesos!$M$3,0)),IF(AO31=PLAYOFF_1aFASE!AO$48,Pesos!$M$3,0))*IF(COUNTIF(AO$27:AO$47,AO31)=1,2,1)</f>
        <v>0</v>
      </c>
      <c r="AQ31" s="41"/>
      <c r="AR31" s="41">
        <f t="shared" si="18"/>
        <v>4</v>
      </c>
    </row>
    <row r="32" ht="14.25" customHeight="1">
      <c r="A32" s="41"/>
      <c r="B32" s="51" t="s">
        <v>14</v>
      </c>
      <c r="C32" s="46">
        <f>VLOOKUP($B32,Form_Playoff1aFase!$C$1:$AQ$44,4,FALSE)</f>
        <v>4</v>
      </c>
      <c r="D32" s="9" t="s">
        <v>98</v>
      </c>
      <c r="E32" s="46">
        <f>VLOOKUP($B32,Form_Playoff1aFase!$C$1:$AQ$44,5,FALSE)</f>
        <v>1</v>
      </c>
      <c r="F32" s="47" t="str">
        <f t="shared" si="10"/>
        <v>casa</v>
      </c>
      <c r="G32" s="48">
        <f>IF(C32=PLAYOFF_1aFASE!C$48,IF(PLAYOFF_1aFASE!E$48=E32,Pesos!$M$6,IF(F32=PLAYOFF_1aFASE!F$48,Pesos!$M$3,0)),IF(F32=PLAYOFF_1aFASE!F$48,Pesos!$M$3,0))*IF(COUNTIF(F$27:F$47,F32)=1,2,1)</f>
        <v>0</v>
      </c>
      <c r="H32" s="46">
        <f>VLOOKUP($B32,Form_Playoff1aFase!$C$1:$AQ$44,9,FALSE)</f>
        <v>2</v>
      </c>
      <c r="I32" s="9" t="s">
        <v>98</v>
      </c>
      <c r="J32" s="46">
        <f>VLOOKUP($B32,Form_Playoff1aFase!$C$1:$AQ$44,10,FALSE)</f>
        <v>0</v>
      </c>
      <c r="K32" s="47" t="str">
        <f t="shared" si="11"/>
        <v>casa</v>
      </c>
      <c r="L32" s="48">
        <f>IF(H32=PLAYOFF_1aFASE!H$48,IF(PLAYOFF_1aFASE!J$48=J32,Pesos!$M$6,IF(K32=PLAYOFF_1aFASE!K$48,Pesos!$M$3,0)),IF(K32=PLAYOFF_1aFASE!K$48,Pesos!$M$3,0))*IF(COUNTIF(K$27:K$47,K32)=1,2,1)</f>
        <v>0.5</v>
      </c>
      <c r="M32" s="46">
        <f>VLOOKUP($B32,Form_Playoff1aFase!$C$1:$AQ$44,14,FALSE)</f>
        <v>3</v>
      </c>
      <c r="N32" s="9" t="s">
        <v>98</v>
      </c>
      <c r="O32" s="46">
        <f>VLOOKUP($B32,Form_Playoff1aFase!$C$1:$AQ$44,15,FALSE)</f>
        <v>0</v>
      </c>
      <c r="P32" s="47" t="str">
        <f t="shared" si="12"/>
        <v>casa</v>
      </c>
      <c r="Q32" s="48">
        <f>IF(M32=PLAYOFF_1aFASE!M$48,IF(PLAYOFF_1aFASE!O$48=O32,Pesos!$M$6,IF(P32=PLAYOFF_1aFASE!P$48,Pesos!$M$3,0)),IF(P32=PLAYOFF_1aFASE!P$48,Pesos!$M$3,0))*IF(COUNTIF(P$27:P$47,P32)=1,2,1)</f>
        <v>0.5</v>
      </c>
      <c r="R32" s="46">
        <f>VLOOKUP($B32,Form_Playoff1aFase!$C$1:$AQ$44,19,FALSE)</f>
        <v>1</v>
      </c>
      <c r="S32" s="9" t="s">
        <v>98</v>
      </c>
      <c r="T32" s="46">
        <f>VLOOKUP($B32,Form_Playoff1aFase!$C$1:$AQ$44,20,FALSE)</f>
        <v>0</v>
      </c>
      <c r="U32" s="47" t="str">
        <f t="shared" si="13"/>
        <v>casa</v>
      </c>
      <c r="V32" s="48">
        <f>IF(R32=PLAYOFF_1aFASE!R$48,IF(PLAYOFF_1aFASE!T$48=T32,Pesos!$M$6,IF(U32=PLAYOFF_1aFASE!U$48,Pesos!$M$3,0)),IF(U32=PLAYOFF_1aFASE!U$48,Pesos!$M$3,0))*IF(COUNTIF(U$27:U$47,U32)=1,2,1)</f>
        <v>0.5</v>
      </c>
      <c r="W32" s="46">
        <f>VLOOKUP($B32,Form_Playoff1aFase!$C$1:$AQ$44,24,FALSE)</f>
        <v>4</v>
      </c>
      <c r="X32" s="9" t="s">
        <v>98</v>
      </c>
      <c r="Y32" s="46">
        <f>VLOOKUP($B32,Form_Playoff1aFase!$C$1:$AQ$44,25,FALSE)</f>
        <v>0</v>
      </c>
      <c r="Z32" s="47" t="str">
        <f t="shared" si="14"/>
        <v>casa</v>
      </c>
      <c r="AA32" s="48">
        <f>IF(W32=PLAYOFF_1aFASE!W$48,IF(PLAYOFF_1aFASE!Y$48=Y32,Pesos!$M$6,IF(Z32=PLAYOFF_1aFASE!Z$48,Pesos!$M$3,0)),IF(Z32=PLAYOFF_1aFASE!Z$48,Pesos!$M$3,0))*IF(COUNTIF(Z$27:Z$47,Z32)=1,2,1)</f>
        <v>0.5</v>
      </c>
      <c r="AB32" s="46">
        <f>VLOOKUP($B32,Form_Playoff1aFase!$C$1:$AQ$44,29,FALSE)</f>
        <v>2</v>
      </c>
      <c r="AC32" s="9" t="s">
        <v>98</v>
      </c>
      <c r="AD32" s="46">
        <f>VLOOKUP($B32,Form_Playoff1aFase!$C$1:$AQ$44,30,FALSE)</f>
        <v>0</v>
      </c>
      <c r="AE32" s="47" t="str">
        <f t="shared" si="15"/>
        <v>casa</v>
      </c>
      <c r="AF32" s="48">
        <f>IF(AB32=PLAYOFF_1aFASE!AB$48,IF(PLAYOFF_1aFASE!AD$48=AD32,Pesos!$M$6,IF(AE32=PLAYOFF_1aFASE!AE$48,Pesos!$M$3,0)),IF(AE32=PLAYOFF_1aFASE!AE$48,Pesos!$M$3,0))*IF(COUNTIF(AE$27:AE$47,AE32)=1,2,1)</f>
        <v>0.5</v>
      </c>
      <c r="AG32" s="46">
        <f>VLOOKUP($B32,Form_Playoff1aFase!$C$1:$AQ$44,34,FALSE)</f>
        <v>3</v>
      </c>
      <c r="AH32" s="9" t="s">
        <v>98</v>
      </c>
      <c r="AI32" s="46">
        <f>VLOOKUP($B32,Form_Playoff1aFase!$C$1:$AQ$44,35,FALSE)</f>
        <v>0</v>
      </c>
      <c r="AJ32" s="47" t="str">
        <f t="shared" si="16"/>
        <v>casa</v>
      </c>
      <c r="AK32" s="48">
        <f>IF(AG32=PLAYOFF_1aFASE!AG$48,IF(PLAYOFF_1aFASE!AI$48=AI32,Pesos!$M$6,IF(AJ32=PLAYOFF_1aFASE!AJ$48,Pesos!$M$3,0)),IF(AJ32=PLAYOFF_1aFASE!AJ$48,Pesos!$M$3,0))*IF(COUNTIF(AJ$27:AJ$47,AJ32)=1,2,1)</f>
        <v>0</v>
      </c>
      <c r="AL32" s="46">
        <f>VLOOKUP($B32,Form_Playoff1aFase!$C$1:$AQ$44,39,FALSE)</f>
        <v>2</v>
      </c>
      <c r="AM32" s="9" t="s">
        <v>98</v>
      </c>
      <c r="AN32" s="46">
        <f>VLOOKUP($B32,Form_Playoff1aFase!$C$1:$AQ$44,40,FALSE)</f>
        <v>2</v>
      </c>
      <c r="AO32" s="47" t="str">
        <f t="shared" si="17"/>
        <v>empate</v>
      </c>
      <c r="AP32" s="48">
        <f>IF(AL32=PLAYOFF_1aFASE!AL$48,IF(PLAYOFF_1aFASE!AN$48=AN32,Pesos!$M$6,IF(AO32=PLAYOFF_1aFASE!AO$48,Pesos!$M$3,0)),IF(AO32=PLAYOFF_1aFASE!AO$48,Pesos!$M$3,0))*IF(COUNTIF(AO$27:AO$47,AO32)=1,2,1)</f>
        <v>0.5</v>
      </c>
      <c r="AQ32" s="41"/>
      <c r="AR32" s="41">
        <f t="shared" si="18"/>
        <v>6</v>
      </c>
    </row>
    <row r="33" ht="14.25" customHeight="1">
      <c r="A33" s="41"/>
      <c r="B33" s="51" t="s">
        <v>6</v>
      </c>
      <c r="C33" s="46">
        <f>VLOOKUP($B33,Form_Playoff1aFase!$C$1:$AQ$44,4,FALSE)</f>
        <v>3</v>
      </c>
      <c r="D33" s="48" t="s">
        <v>98</v>
      </c>
      <c r="E33" s="46">
        <f>VLOOKUP($B33,Form_Playoff1aFase!$C$1:$AQ$44,5,FALSE)</f>
        <v>0</v>
      </c>
      <c r="F33" s="47" t="str">
        <f t="shared" si="10"/>
        <v>casa</v>
      </c>
      <c r="G33" s="48">
        <f>IF(C33=PLAYOFF_1aFASE!C$48,IF(PLAYOFF_1aFASE!E$48=E33,Pesos!$M$6,IF(F33=PLAYOFF_1aFASE!F$48,Pesos!$M$3,0)),IF(F33=PLAYOFF_1aFASE!F$48,Pesos!$M$3,0))*IF(COUNTIF(F$27:F$47,F33)=1,2,1)</f>
        <v>0</v>
      </c>
      <c r="H33" s="46">
        <f>VLOOKUP($B33,Form_Playoff1aFase!$C$1:$AQ$44,9,FALSE)</f>
        <v>2</v>
      </c>
      <c r="I33" s="48" t="s">
        <v>98</v>
      </c>
      <c r="J33" s="46">
        <f>VLOOKUP($B33,Form_Playoff1aFase!$C$1:$AQ$44,10,FALSE)</f>
        <v>1</v>
      </c>
      <c r="K33" s="47" t="str">
        <f t="shared" si="11"/>
        <v>casa</v>
      </c>
      <c r="L33" s="48">
        <f>IF(H33=PLAYOFF_1aFASE!H$48,IF(PLAYOFF_1aFASE!J$48=J33,Pesos!$M$6,IF(K33=PLAYOFF_1aFASE!K$48,Pesos!$M$3,0)),IF(K33=PLAYOFF_1aFASE!K$48,Pesos!$M$3,0))*IF(COUNTIF(K$27:K$47,K33)=1,2,1)</f>
        <v>0.5</v>
      </c>
      <c r="M33" s="46">
        <f>VLOOKUP($B33,Form_Playoff1aFase!$C$1:$AQ$44,14,FALSE)</f>
        <v>3</v>
      </c>
      <c r="N33" s="48" t="s">
        <v>98</v>
      </c>
      <c r="O33" s="46">
        <f>VLOOKUP($B33,Form_Playoff1aFase!$C$1:$AQ$44,15,FALSE)</f>
        <v>1</v>
      </c>
      <c r="P33" s="47" t="str">
        <f t="shared" si="12"/>
        <v>casa</v>
      </c>
      <c r="Q33" s="48">
        <f>IF(M33=PLAYOFF_1aFASE!M$48,IF(PLAYOFF_1aFASE!O$48=O33,Pesos!$M$6,IF(P33=PLAYOFF_1aFASE!P$48,Pesos!$M$3,0)),IF(P33=PLAYOFF_1aFASE!P$48,Pesos!$M$3,0))*IF(COUNTIF(P$27:P$47,P33)=1,2,1)</f>
        <v>0.5</v>
      </c>
      <c r="R33" s="46">
        <f>VLOOKUP($B33,Form_Playoff1aFase!$C$1:$AQ$44,19,FALSE)</f>
        <v>1</v>
      </c>
      <c r="S33" s="48" t="s">
        <v>98</v>
      </c>
      <c r="T33" s="46">
        <f>VLOOKUP($B33,Form_Playoff1aFase!$C$1:$AQ$44,20,FALSE)</f>
        <v>0</v>
      </c>
      <c r="U33" s="47" t="str">
        <f t="shared" si="13"/>
        <v>casa</v>
      </c>
      <c r="V33" s="48">
        <f>IF(R33=PLAYOFF_1aFASE!R$48,IF(PLAYOFF_1aFASE!T$48=T33,Pesos!$M$6,IF(U33=PLAYOFF_1aFASE!U$48,Pesos!$M$3,0)),IF(U33=PLAYOFF_1aFASE!U$48,Pesos!$M$3,0))*IF(COUNTIF(U$27:U$47,U33)=1,2,1)</f>
        <v>0.5</v>
      </c>
      <c r="W33" s="46">
        <f>VLOOKUP($B33,Form_Playoff1aFase!$C$1:$AQ$44,24,FALSE)</f>
        <v>2</v>
      </c>
      <c r="X33" s="48" t="s">
        <v>98</v>
      </c>
      <c r="Y33" s="46">
        <f>VLOOKUP($B33,Form_Playoff1aFase!$C$1:$AQ$44,25,FALSE)</f>
        <v>0</v>
      </c>
      <c r="Z33" s="47" t="str">
        <f t="shared" si="14"/>
        <v>casa</v>
      </c>
      <c r="AA33" s="48">
        <f>IF(W33=PLAYOFF_1aFASE!W$48,IF(PLAYOFF_1aFASE!Y$48=Y33,Pesos!$M$6,IF(Z33=PLAYOFF_1aFASE!Z$48,Pesos!$M$3,0)),IF(Z33=PLAYOFF_1aFASE!Z$48,Pesos!$M$3,0))*IF(COUNTIF(Z$27:Z$47,Z33)=1,2,1)</f>
        <v>0.5</v>
      </c>
      <c r="AB33" s="46">
        <f>VLOOKUP($B33,Form_Playoff1aFase!$C$1:$AQ$44,29,FALSE)</f>
        <v>3</v>
      </c>
      <c r="AC33" s="48" t="s">
        <v>98</v>
      </c>
      <c r="AD33" s="46">
        <f>VLOOKUP($B33,Form_Playoff1aFase!$C$1:$AQ$44,30,FALSE)</f>
        <v>1</v>
      </c>
      <c r="AE33" s="47" t="str">
        <f t="shared" si="15"/>
        <v>casa</v>
      </c>
      <c r="AF33" s="48">
        <f>IF(AB33=PLAYOFF_1aFASE!AB$48,IF(PLAYOFF_1aFASE!AD$48=AD33,Pesos!$M$6,IF(AE33=PLAYOFF_1aFASE!AE$48,Pesos!$M$3,0)),IF(AE33=PLAYOFF_1aFASE!AE$48,Pesos!$M$3,0))*IF(COUNTIF(AE$27:AE$47,AE33)=1,2,1)</f>
        <v>0.5</v>
      </c>
      <c r="AG33" s="46">
        <f>VLOOKUP($B33,Form_Playoff1aFase!$C$1:$AQ$44,34,FALSE)</f>
        <v>2</v>
      </c>
      <c r="AH33" s="48" t="s">
        <v>98</v>
      </c>
      <c r="AI33" s="46">
        <f>VLOOKUP($B33,Form_Playoff1aFase!$C$1:$AQ$44,35,FALSE)</f>
        <v>1</v>
      </c>
      <c r="AJ33" s="47" t="str">
        <f t="shared" si="16"/>
        <v>casa</v>
      </c>
      <c r="AK33" s="48">
        <f>IF(AG33=PLAYOFF_1aFASE!AG$48,IF(PLAYOFF_1aFASE!AI$48=AI33,Pesos!$M$6,IF(AJ33=PLAYOFF_1aFASE!AJ$48,Pesos!$M$3,0)),IF(AJ33=PLAYOFF_1aFASE!AJ$48,Pesos!$M$3,0))*IF(COUNTIF(AJ$27:AJ$47,AJ33)=1,2,1)</f>
        <v>0</v>
      </c>
      <c r="AL33" s="46">
        <f>VLOOKUP($B33,Form_Playoff1aFase!$C$1:$AQ$44,39,FALSE)</f>
        <v>1</v>
      </c>
      <c r="AM33" s="48" t="s">
        <v>98</v>
      </c>
      <c r="AN33" s="46">
        <f>VLOOKUP($B33,Form_Playoff1aFase!$C$1:$AQ$44,40,FALSE)</f>
        <v>1</v>
      </c>
      <c r="AO33" s="47" t="str">
        <f t="shared" si="17"/>
        <v>empate</v>
      </c>
      <c r="AP33" s="48">
        <f>IF(AL33=PLAYOFF_1aFASE!AL$48,IF(PLAYOFF_1aFASE!AN$48=AN33,Pesos!$M$6,IF(AO33=PLAYOFF_1aFASE!AO$48,Pesos!$M$3,0)),IF(AO33=PLAYOFF_1aFASE!AO$48,Pesos!$M$3,0))*IF(COUNTIF(AO$27:AO$47,AO33)=1,2,1)</f>
        <v>0.5</v>
      </c>
      <c r="AQ33" s="41"/>
      <c r="AR33" s="41">
        <f t="shared" si="18"/>
        <v>6</v>
      </c>
    </row>
    <row r="34" ht="14.25" customHeight="1">
      <c r="A34" s="41"/>
      <c r="B34" s="51" t="s">
        <v>5</v>
      </c>
      <c r="C34" s="46">
        <f>VLOOKUP($B34,Form_Playoff1aFase!$C$1:$AQ$44,4,FALSE)</f>
        <v>2</v>
      </c>
      <c r="D34" s="48" t="s">
        <v>98</v>
      </c>
      <c r="E34" s="46">
        <f>VLOOKUP($B34,Form_Playoff1aFase!$C$1:$AQ$44,5,FALSE)</f>
        <v>0</v>
      </c>
      <c r="F34" s="47" t="str">
        <f t="shared" si="10"/>
        <v>casa</v>
      </c>
      <c r="G34" s="48">
        <f>IF(C34=PLAYOFF_1aFASE!C$48,IF(PLAYOFF_1aFASE!E$48=E34,Pesos!$M$6,IF(F34=PLAYOFF_1aFASE!F$48,Pesos!$M$3,0)),IF(F34=PLAYOFF_1aFASE!F$48,Pesos!$M$3,0))*IF(COUNTIF(F$27:F$47,F34)=1,2,1)</f>
        <v>0</v>
      </c>
      <c r="H34" s="46">
        <f>VLOOKUP($B34,Form_Playoff1aFase!$C$1:$AQ$44,9,FALSE)</f>
        <v>3</v>
      </c>
      <c r="I34" s="48" t="s">
        <v>98</v>
      </c>
      <c r="J34" s="46">
        <f>VLOOKUP($B34,Form_Playoff1aFase!$C$1:$AQ$44,10,FALSE)</f>
        <v>1</v>
      </c>
      <c r="K34" s="47" t="str">
        <f t="shared" si="11"/>
        <v>casa</v>
      </c>
      <c r="L34" s="48">
        <f>IF(H34=PLAYOFF_1aFASE!H$48,IF(PLAYOFF_1aFASE!J$48=J34,Pesos!$M$6,IF(K34=PLAYOFF_1aFASE!K$48,Pesos!$M$3,0)),IF(K34=PLAYOFF_1aFASE!K$48,Pesos!$M$3,0))*IF(COUNTIF(K$27:K$47,K34)=1,2,1)</f>
        <v>0.5</v>
      </c>
      <c r="M34" s="46">
        <f>VLOOKUP($B34,Form_Playoff1aFase!$C$1:$AQ$44,14,FALSE)</f>
        <v>4</v>
      </c>
      <c r="N34" s="48" t="s">
        <v>98</v>
      </c>
      <c r="O34" s="46">
        <f>VLOOKUP($B34,Form_Playoff1aFase!$C$1:$AQ$44,15,FALSE)</f>
        <v>1</v>
      </c>
      <c r="P34" s="47" t="str">
        <f t="shared" si="12"/>
        <v>casa</v>
      </c>
      <c r="Q34" s="48">
        <f>IF(M34=PLAYOFF_1aFASE!M$48,IF(PLAYOFF_1aFASE!O$48=O34,Pesos!$M$6,IF(P34=PLAYOFF_1aFASE!P$48,Pesos!$M$3,0)),IF(P34=PLAYOFF_1aFASE!P$48,Pesos!$M$3,0))*IF(COUNTIF(P$27:P$47,P34)=1,2,1)</f>
        <v>0.5</v>
      </c>
      <c r="R34" s="46">
        <f>VLOOKUP($B34,Form_Playoff1aFase!$C$1:$AQ$44,19,FALSE)</f>
        <v>2</v>
      </c>
      <c r="S34" s="48" t="s">
        <v>98</v>
      </c>
      <c r="T34" s="46">
        <f>VLOOKUP($B34,Form_Playoff1aFase!$C$1:$AQ$44,20,FALSE)</f>
        <v>2</v>
      </c>
      <c r="U34" s="47" t="str">
        <f t="shared" si="13"/>
        <v>empate</v>
      </c>
      <c r="V34" s="48">
        <f>IF(R34=PLAYOFF_1aFASE!R$48,IF(PLAYOFF_1aFASE!T$48=T34,Pesos!$M$6,IF(U34=PLAYOFF_1aFASE!U$48,Pesos!$M$3,0)),IF(U34=PLAYOFF_1aFASE!U$48,Pesos!$M$3,0))*IF(COUNTIF(U$27:U$47,U34)=1,2,1)</f>
        <v>0</v>
      </c>
      <c r="W34" s="46">
        <f>VLOOKUP($B34,Form_Playoff1aFase!$C$1:$AQ$44,24,FALSE)</f>
        <v>2</v>
      </c>
      <c r="X34" s="48" t="s">
        <v>98</v>
      </c>
      <c r="Y34" s="46">
        <f>VLOOKUP($B34,Form_Playoff1aFase!$C$1:$AQ$44,25,FALSE)</f>
        <v>1</v>
      </c>
      <c r="Z34" s="47" t="str">
        <f t="shared" si="14"/>
        <v>casa</v>
      </c>
      <c r="AA34" s="48">
        <f>IF(W34=PLAYOFF_1aFASE!W$48,IF(PLAYOFF_1aFASE!Y$48=Y34,Pesos!$M$6,IF(Z34=PLAYOFF_1aFASE!Z$48,Pesos!$M$3,0)),IF(Z34=PLAYOFF_1aFASE!Z$48,Pesos!$M$3,0))*IF(COUNTIF(Z$27:Z$47,Z34)=1,2,1)</f>
        <v>0.5</v>
      </c>
      <c r="AB34" s="46">
        <f>VLOOKUP($B34,Form_Playoff1aFase!$C$1:$AQ$44,29,FALSE)</f>
        <v>2</v>
      </c>
      <c r="AC34" s="48" t="s">
        <v>98</v>
      </c>
      <c r="AD34" s="46">
        <f>VLOOKUP($B34,Form_Playoff1aFase!$C$1:$AQ$44,30,FALSE)</f>
        <v>1</v>
      </c>
      <c r="AE34" s="47" t="str">
        <f t="shared" si="15"/>
        <v>casa</v>
      </c>
      <c r="AF34" s="48">
        <f>IF(AB34=PLAYOFF_1aFASE!AB$48,IF(PLAYOFF_1aFASE!AD$48=AD34,Pesos!$M$6,IF(AE34=PLAYOFF_1aFASE!AE$48,Pesos!$M$3,0)),IF(AE34=PLAYOFF_1aFASE!AE$48,Pesos!$M$3,0))*IF(COUNTIF(AE$27:AE$47,AE34)=1,2,1)</f>
        <v>0.5</v>
      </c>
      <c r="AG34" s="46">
        <f>VLOOKUP($B34,Form_Playoff1aFase!$C$1:$AQ$44,34,FALSE)</f>
        <v>2</v>
      </c>
      <c r="AH34" s="48" t="s">
        <v>98</v>
      </c>
      <c r="AI34" s="46">
        <f>VLOOKUP($B34,Form_Playoff1aFase!$C$1:$AQ$44,35,FALSE)</f>
        <v>0</v>
      </c>
      <c r="AJ34" s="47" t="str">
        <f t="shared" si="16"/>
        <v>casa</v>
      </c>
      <c r="AK34" s="48">
        <f>IF(AG34=PLAYOFF_1aFASE!AG$48,IF(PLAYOFF_1aFASE!AI$48=AI34,Pesos!$M$6,IF(AJ34=PLAYOFF_1aFASE!AJ$48,Pesos!$M$3,0)),IF(AJ34=PLAYOFF_1aFASE!AJ$48,Pesos!$M$3,0))*IF(COUNTIF(AJ$27:AJ$47,AJ34)=1,2,1)</f>
        <v>0</v>
      </c>
      <c r="AL34" s="46">
        <f>VLOOKUP($B34,Form_Playoff1aFase!$C$1:$AQ$44,39,FALSE)</f>
        <v>2</v>
      </c>
      <c r="AM34" s="48" t="s">
        <v>98</v>
      </c>
      <c r="AN34" s="46">
        <f>VLOOKUP($B34,Form_Playoff1aFase!$C$1:$AQ$44,40,FALSE)</f>
        <v>1</v>
      </c>
      <c r="AO34" s="47" t="str">
        <f t="shared" si="17"/>
        <v>casa</v>
      </c>
      <c r="AP34" s="48">
        <f>IF(AL34=PLAYOFF_1aFASE!AL$48,IF(PLAYOFF_1aFASE!AN$48=AN34,Pesos!$M$6,IF(AO34=PLAYOFF_1aFASE!AO$48,Pesos!$M$3,0)),IF(AO34=PLAYOFF_1aFASE!AO$48,Pesos!$M$3,0))*IF(COUNTIF(AO$27:AO$47,AO34)=1,2,1)</f>
        <v>0</v>
      </c>
      <c r="AQ34" s="41"/>
      <c r="AR34" s="41">
        <f t="shared" si="18"/>
        <v>4</v>
      </c>
    </row>
    <row r="35" ht="14.25" customHeight="1">
      <c r="A35" s="41"/>
      <c r="B35" s="51" t="s">
        <v>4</v>
      </c>
      <c r="C35" s="46">
        <f>VLOOKUP($B35,Form_Playoff1aFase!$C$1:$AQ$44,4,FALSE)</f>
        <v>2</v>
      </c>
      <c r="D35" s="9" t="s">
        <v>98</v>
      </c>
      <c r="E35" s="46">
        <f>VLOOKUP($B35,Form_Playoff1aFase!$C$1:$AQ$44,5,FALSE)</f>
        <v>0</v>
      </c>
      <c r="F35" s="47" t="str">
        <f t="shared" si="10"/>
        <v>casa</v>
      </c>
      <c r="G35" s="48">
        <f>IF(C35=PLAYOFF_1aFASE!C$48,IF(PLAYOFF_1aFASE!E$48=E35,Pesos!$M$6,IF(F35=PLAYOFF_1aFASE!F$48,Pesos!$M$3,0)),IF(F35=PLAYOFF_1aFASE!F$48,Pesos!$M$3,0))*IF(COUNTIF(F$27:F$47,F35)=1,2,1)</f>
        <v>0</v>
      </c>
      <c r="H35" s="46">
        <f>VLOOKUP($B35,Form_Playoff1aFase!$C$1:$AQ$44,9,FALSE)</f>
        <v>1</v>
      </c>
      <c r="I35" s="9" t="s">
        <v>98</v>
      </c>
      <c r="J35" s="46">
        <f>VLOOKUP($B35,Form_Playoff1aFase!$C$1:$AQ$44,10,FALSE)</f>
        <v>1</v>
      </c>
      <c r="K35" s="47" t="str">
        <f t="shared" si="11"/>
        <v>empate</v>
      </c>
      <c r="L35" s="48">
        <f>IF(H35=PLAYOFF_1aFASE!H$48,IF(PLAYOFF_1aFASE!J$48=J35,Pesos!$M$6,IF(K35=PLAYOFF_1aFASE!K$48,Pesos!$M$3,0)),IF(K35=PLAYOFF_1aFASE!K$48,Pesos!$M$3,0))*IF(COUNTIF(K$27:K$47,K35)=1,2,1)</f>
        <v>0</v>
      </c>
      <c r="M35" s="46">
        <f>VLOOKUP($B35,Form_Playoff1aFase!$C$1:$AQ$44,14,FALSE)</f>
        <v>2</v>
      </c>
      <c r="N35" s="9" t="s">
        <v>98</v>
      </c>
      <c r="O35" s="46">
        <f>VLOOKUP($B35,Form_Playoff1aFase!$C$1:$AQ$44,15,FALSE)</f>
        <v>1</v>
      </c>
      <c r="P35" s="47" t="str">
        <f t="shared" si="12"/>
        <v>casa</v>
      </c>
      <c r="Q35" s="48">
        <f>IF(M35=PLAYOFF_1aFASE!M$48,IF(PLAYOFF_1aFASE!O$48=O35,Pesos!$M$6,IF(P35=PLAYOFF_1aFASE!P$48,Pesos!$M$3,0)),IF(P35=PLAYOFF_1aFASE!P$48,Pesos!$M$3,0))*IF(COUNTIF(P$27:P$47,P35)=1,2,1)</f>
        <v>3</v>
      </c>
      <c r="R35" s="46">
        <f>VLOOKUP($B35,Form_Playoff1aFase!$C$1:$AQ$44,19,FALSE)</f>
        <v>1</v>
      </c>
      <c r="S35" s="9" t="s">
        <v>98</v>
      </c>
      <c r="T35" s="46">
        <f>VLOOKUP($B35,Form_Playoff1aFase!$C$1:$AQ$44,20,FALSE)</f>
        <v>1</v>
      </c>
      <c r="U35" s="47" t="str">
        <f t="shared" si="13"/>
        <v>empate</v>
      </c>
      <c r="V35" s="48">
        <f>IF(R35=PLAYOFF_1aFASE!R$48,IF(PLAYOFF_1aFASE!T$48=T35,Pesos!$M$6,IF(U35=PLAYOFF_1aFASE!U$48,Pesos!$M$3,0)),IF(U35=PLAYOFF_1aFASE!U$48,Pesos!$M$3,0))*IF(COUNTIF(U$27:U$47,U35)=1,2,1)</f>
        <v>0</v>
      </c>
      <c r="W35" s="46">
        <f>VLOOKUP($B35,Form_Playoff1aFase!$C$1:$AQ$44,24,FALSE)</f>
        <v>2</v>
      </c>
      <c r="X35" s="9" t="s">
        <v>98</v>
      </c>
      <c r="Y35" s="46">
        <f>VLOOKUP($B35,Form_Playoff1aFase!$C$1:$AQ$44,25,FALSE)</f>
        <v>0</v>
      </c>
      <c r="Z35" s="47" t="str">
        <f t="shared" si="14"/>
        <v>casa</v>
      </c>
      <c r="AA35" s="48">
        <f>IF(W35=PLAYOFF_1aFASE!W$48,IF(PLAYOFF_1aFASE!Y$48=Y35,Pesos!$M$6,IF(Z35=PLAYOFF_1aFASE!Z$48,Pesos!$M$3,0)),IF(Z35=PLAYOFF_1aFASE!Z$48,Pesos!$M$3,0))*IF(COUNTIF(Z$27:Z$47,Z35)=1,2,1)</f>
        <v>0.5</v>
      </c>
      <c r="AB35" s="46">
        <f>VLOOKUP($B35,Form_Playoff1aFase!$C$1:$AQ$44,29,FALSE)</f>
        <v>1</v>
      </c>
      <c r="AC35" s="9" t="s">
        <v>98</v>
      </c>
      <c r="AD35" s="46">
        <f>VLOOKUP($B35,Form_Playoff1aFase!$C$1:$AQ$44,30,FALSE)</f>
        <v>0</v>
      </c>
      <c r="AE35" s="47" t="str">
        <f t="shared" si="15"/>
        <v>casa</v>
      </c>
      <c r="AF35" s="48">
        <f>IF(AB35=PLAYOFF_1aFASE!AB$48,IF(PLAYOFF_1aFASE!AD$48=AD35,Pesos!$M$6,IF(AE35=PLAYOFF_1aFASE!AE$48,Pesos!$M$3,0)),IF(AE35=PLAYOFF_1aFASE!AE$48,Pesos!$M$3,0))*IF(COUNTIF(AE$27:AE$47,AE35)=1,2,1)</f>
        <v>0.5</v>
      </c>
      <c r="AG35" s="46">
        <f>VLOOKUP($B35,Form_Playoff1aFase!$C$1:$AQ$44,34,FALSE)</f>
        <v>3</v>
      </c>
      <c r="AH35" s="9" t="s">
        <v>98</v>
      </c>
      <c r="AI35" s="46">
        <f>VLOOKUP($B35,Form_Playoff1aFase!$C$1:$AQ$44,35,FALSE)</f>
        <v>1</v>
      </c>
      <c r="AJ35" s="47" t="str">
        <f t="shared" si="16"/>
        <v>casa</v>
      </c>
      <c r="AK35" s="48">
        <f>IF(AG35=PLAYOFF_1aFASE!AG$48,IF(PLAYOFF_1aFASE!AI$48=AI35,Pesos!$M$6,IF(AJ35=PLAYOFF_1aFASE!AJ$48,Pesos!$M$3,0)),IF(AJ35=PLAYOFF_1aFASE!AJ$48,Pesos!$M$3,0))*IF(COUNTIF(AJ$27:AJ$47,AJ35)=1,2,1)</f>
        <v>0</v>
      </c>
      <c r="AL35" s="46">
        <f>VLOOKUP($B35,Form_Playoff1aFase!$C$1:$AQ$44,39,FALSE)</f>
        <v>2</v>
      </c>
      <c r="AM35" s="9" t="s">
        <v>98</v>
      </c>
      <c r="AN35" s="46">
        <f>VLOOKUP($B35,Form_Playoff1aFase!$C$1:$AQ$44,40,FALSE)</f>
        <v>0</v>
      </c>
      <c r="AO35" s="47" t="str">
        <f t="shared" si="17"/>
        <v>casa</v>
      </c>
      <c r="AP35" s="48">
        <f>IF(AL35=PLAYOFF_1aFASE!AL$48,IF(PLAYOFF_1aFASE!AN$48=AN35,Pesos!$M$6,IF(AO35=PLAYOFF_1aFASE!AO$48,Pesos!$M$3,0)),IF(AO35=PLAYOFF_1aFASE!AO$48,Pesos!$M$3,0))*IF(COUNTIF(AO$27:AO$47,AO35)=1,2,1)</f>
        <v>0</v>
      </c>
      <c r="AQ35" s="41"/>
      <c r="AR35" s="41">
        <f t="shared" si="18"/>
        <v>3</v>
      </c>
    </row>
    <row r="36" ht="14.25" customHeight="1">
      <c r="A36" s="41"/>
      <c r="B36" s="51" t="s">
        <v>18</v>
      </c>
      <c r="C36" s="46">
        <f>VLOOKUP($B36,Form_Playoff1aFase!$C$1:$AQ$44,4,FALSE)</f>
        <v>3</v>
      </c>
      <c r="D36" s="9" t="s">
        <v>98</v>
      </c>
      <c r="E36" s="46">
        <f>VLOOKUP($B36,Form_Playoff1aFase!$C$1:$AQ$44,5,FALSE)</f>
        <v>0</v>
      </c>
      <c r="F36" s="47" t="str">
        <f t="shared" si="10"/>
        <v>casa</v>
      </c>
      <c r="G36" s="48">
        <f>IF(C36=PLAYOFF_1aFASE!C$48,IF(PLAYOFF_1aFASE!E$48=E36,Pesos!$M$6,IF(F36=PLAYOFF_1aFASE!F$48,Pesos!$M$3,0)),IF(F36=PLAYOFF_1aFASE!F$48,Pesos!$M$3,0))*IF(COUNTIF(F$27:F$47,F36)=1,2,1)</f>
        <v>0</v>
      </c>
      <c r="H36" s="46">
        <f>VLOOKUP($B36,Form_Playoff1aFase!$C$1:$AQ$44,9,FALSE)</f>
        <v>2</v>
      </c>
      <c r="I36" s="9" t="s">
        <v>98</v>
      </c>
      <c r="J36" s="46">
        <f>VLOOKUP($B36,Form_Playoff1aFase!$C$1:$AQ$44,10,FALSE)</f>
        <v>1</v>
      </c>
      <c r="K36" s="47" t="str">
        <f t="shared" si="11"/>
        <v>casa</v>
      </c>
      <c r="L36" s="48">
        <f>IF(H36=PLAYOFF_1aFASE!H$48,IF(PLAYOFF_1aFASE!J$48=J36,Pesos!$M$6,IF(K36=PLAYOFF_1aFASE!K$48,Pesos!$M$3,0)),IF(K36=PLAYOFF_1aFASE!K$48,Pesos!$M$3,0))*IF(COUNTIF(K$27:K$47,K36)=1,2,1)</f>
        <v>0.5</v>
      </c>
      <c r="M36" s="46">
        <f>VLOOKUP($B36,Form_Playoff1aFase!$C$1:$AQ$44,14,FALSE)</f>
        <v>3</v>
      </c>
      <c r="N36" s="9" t="s">
        <v>98</v>
      </c>
      <c r="O36" s="46">
        <f>VLOOKUP($B36,Form_Playoff1aFase!$C$1:$AQ$44,15,FALSE)</f>
        <v>1</v>
      </c>
      <c r="P36" s="47" t="str">
        <f t="shared" si="12"/>
        <v>casa</v>
      </c>
      <c r="Q36" s="48">
        <f>IF(M36=PLAYOFF_1aFASE!M$48,IF(PLAYOFF_1aFASE!O$48=O36,Pesos!$M$6,IF(P36=PLAYOFF_1aFASE!P$48,Pesos!$M$3,0)),IF(P36=PLAYOFF_1aFASE!P$48,Pesos!$M$3,0))*IF(COUNTIF(P$27:P$47,P36)=1,2,1)</f>
        <v>0.5</v>
      </c>
      <c r="R36" s="46">
        <f>VLOOKUP($B36,Form_Playoff1aFase!$C$1:$AQ$44,19,FALSE)</f>
        <v>1</v>
      </c>
      <c r="S36" s="9" t="s">
        <v>98</v>
      </c>
      <c r="T36" s="46">
        <f>VLOOKUP($B36,Form_Playoff1aFase!$C$1:$AQ$44,20,FALSE)</f>
        <v>2</v>
      </c>
      <c r="U36" s="47" t="str">
        <f t="shared" si="13"/>
        <v>visita</v>
      </c>
      <c r="V36" s="48">
        <f>IF(R36=PLAYOFF_1aFASE!R$48,IF(PLAYOFF_1aFASE!T$48=T36,Pesos!$M$6,IF(U36=PLAYOFF_1aFASE!U$48,Pesos!$M$3,0)),IF(U36=PLAYOFF_1aFASE!U$48,Pesos!$M$3,0))*IF(COUNTIF(U$27:U$47,U36)=1,2,1)</f>
        <v>0</v>
      </c>
      <c r="W36" s="46">
        <f>VLOOKUP($B36,Form_Playoff1aFase!$C$1:$AQ$44,24,FALSE)</f>
        <v>3</v>
      </c>
      <c r="X36" s="9" t="s">
        <v>98</v>
      </c>
      <c r="Y36" s="46">
        <f>VLOOKUP($B36,Form_Playoff1aFase!$C$1:$AQ$44,25,FALSE)</f>
        <v>0</v>
      </c>
      <c r="Z36" s="47" t="str">
        <f t="shared" si="14"/>
        <v>casa</v>
      </c>
      <c r="AA36" s="48">
        <f>IF(W36=PLAYOFF_1aFASE!W$48,IF(PLAYOFF_1aFASE!Y$48=Y36,Pesos!$M$6,IF(Z36=PLAYOFF_1aFASE!Z$48,Pesos!$M$3,0)),IF(Z36=PLAYOFF_1aFASE!Z$48,Pesos!$M$3,0))*IF(COUNTIF(Z$27:Z$47,Z36)=1,2,1)</f>
        <v>0.5</v>
      </c>
      <c r="AB36" s="46">
        <f>VLOOKUP($B36,Form_Playoff1aFase!$C$1:$AQ$44,29,FALSE)</f>
        <v>2</v>
      </c>
      <c r="AC36" s="9" t="s">
        <v>98</v>
      </c>
      <c r="AD36" s="46">
        <f>VLOOKUP($B36,Form_Playoff1aFase!$C$1:$AQ$44,30,FALSE)</f>
        <v>0</v>
      </c>
      <c r="AE36" s="47" t="str">
        <f t="shared" si="15"/>
        <v>casa</v>
      </c>
      <c r="AF36" s="48">
        <f>IF(AB36=PLAYOFF_1aFASE!AB$48,IF(PLAYOFF_1aFASE!AD$48=AD36,Pesos!$M$6,IF(AE36=PLAYOFF_1aFASE!AE$48,Pesos!$M$3,0)),IF(AE36=PLAYOFF_1aFASE!AE$48,Pesos!$M$3,0))*IF(COUNTIF(AE$27:AE$47,AE36)=1,2,1)</f>
        <v>0.5</v>
      </c>
      <c r="AG36" s="46">
        <f>VLOOKUP($B36,Form_Playoff1aFase!$C$1:$AQ$44,34,FALSE)</f>
        <v>2</v>
      </c>
      <c r="AH36" s="9" t="s">
        <v>98</v>
      </c>
      <c r="AI36" s="46">
        <f>VLOOKUP($B36,Form_Playoff1aFase!$C$1:$AQ$44,35,FALSE)</f>
        <v>0</v>
      </c>
      <c r="AJ36" s="47" t="str">
        <f t="shared" si="16"/>
        <v>casa</v>
      </c>
      <c r="AK36" s="48">
        <f>IF(AG36=PLAYOFF_1aFASE!AG$48,IF(PLAYOFF_1aFASE!AI$48=AI36,Pesos!$M$6,IF(AJ36=PLAYOFF_1aFASE!AJ$48,Pesos!$M$3,0)),IF(AJ36=PLAYOFF_1aFASE!AJ$48,Pesos!$M$3,0))*IF(COUNTIF(AJ$27:AJ$47,AJ36)=1,2,1)</f>
        <v>0</v>
      </c>
      <c r="AL36" s="46">
        <f>VLOOKUP($B36,Form_Playoff1aFase!$C$1:$AQ$44,39,FALSE)</f>
        <v>2</v>
      </c>
      <c r="AM36" s="9" t="s">
        <v>98</v>
      </c>
      <c r="AN36" s="46">
        <f>VLOOKUP($B36,Form_Playoff1aFase!$C$1:$AQ$44,40,FALSE)</f>
        <v>0</v>
      </c>
      <c r="AO36" s="47" t="str">
        <f t="shared" si="17"/>
        <v>casa</v>
      </c>
      <c r="AP36" s="48">
        <f>IF(AL36=PLAYOFF_1aFASE!AL$48,IF(PLAYOFF_1aFASE!AN$48=AN36,Pesos!$M$6,IF(AO36=PLAYOFF_1aFASE!AO$48,Pesos!$M$3,0)),IF(AO36=PLAYOFF_1aFASE!AO$48,Pesos!$M$3,0))*IF(COUNTIF(AO$27:AO$47,AO36)=1,2,1)</f>
        <v>0</v>
      </c>
      <c r="AQ36" s="41"/>
      <c r="AR36" s="41">
        <f t="shared" si="18"/>
        <v>4</v>
      </c>
    </row>
    <row r="37" ht="14.25" customHeight="1">
      <c r="A37" s="41"/>
      <c r="B37" s="51" t="s">
        <v>2</v>
      </c>
      <c r="C37" s="46">
        <f>VLOOKUP($B37,Form_Playoff1aFase!$C$1:$AQ$44,4,FALSE)</f>
        <v>2</v>
      </c>
      <c r="D37" s="9" t="s">
        <v>98</v>
      </c>
      <c r="E37" s="46">
        <f>VLOOKUP($B37,Form_Playoff1aFase!$C$1:$AQ$44,5,FALSE)</f>
        <v>1</v>
      </c>
      <c r="F37" s="47" t="str">
        <f t="shared" si="10"/>
        <v>casa</v>
      </c>
      <c r="G37" s="48">
        <f>IF(C37=PLAYOFF_1aFASE!C$48,IF(PLAYOFF_1aFASE!E$48=E37,Pesos!$M$6,IF(F37=PLAYOFF_1aFASE!F$48,Pesos!$M$3,0)),IF(F37=PLAYOFF_1aFASE!F$48,Pesos!$M$3,0))*IF(COUNTIF(F$27:F$47,F37)=1,2,1)</f>
        <v>0</v>
      </c>
      <c r="H37" s="46">
        <f>VLOOKUP($B37,Form_Playoff1aFase!$C$1:$AQ$44,9,FALSE)</f>
        <v>2</v>
      </c>
      <c r="I37" s="9" t="s">
        <v>98</v>
      </c>
      <c r="J37" s="46">
        <f>VLOOKUP($B37,Form_Playoff1aFase!$C$1:$AQ$44,10,FALSE)</f>
        <v>0</v>
      </c>
      <c r="K37" s="47" t="str">
        <f t="shared" si="11"/>
        <v>casa</v>
      </c>
      <c r="L37" s="48">
        <f>IF(H37=PLAYOFF_1aFASE!H$48,IF(PLAYOFF_1aFASE!J$48=J37,Pesos!$M$6,IF(K37=PLAYOFF_1aFASE!K$48,Pesos!$M$3,0)),IF(K37=PLAYOFF_1aFASE!K$48,Pesos!$M$3,0))*IF(COUNTIF(K$27:K$47,K37)=1,2,1)</f>
        <v>0.5</v>
      </c>
      <c r="M37" s="46">
        <f>VLOOKUP($B37,Form_Playoff1aFase!$C$1:$AQ$44,14,FALSE)</f>
        <v>2</v>
      </c>
      <c r="N37" s="9" t="s">
        <v>98</v>
      </c>
      <c r="O37" s="46">
        <f>VLOOKUP($B37,Form_Playoff1aFase!$C$1:$AQ$44,15,FALSE)</f>
        <v>0</v>
      </c>
      <c r="P37" s="47" t="str">
        <f t="shared" si="12"/>
        <v>casa</v>
      </c>
      <c r="Q37" s="48">
        <f>IF(M37=PLAYOFF_1aFASE!M$48,IF(PLAYOFF_1aFASE!O$48=O37,Pesos!$M$6,IF(P37=PLAYOFF_1aFASE!P$48,Pesos!$M$3,0)),IF(P37=PLAYOFF_1aFASE!P$48,Pesos!$M$3,0))*IF(COUNTIF(P$27:P$47,P37)=1,2,1)</f>
        <v>0.5</v>
      </c>
      <c r="R37" s="46">
        <f>VLOOKUP($B37,Form_Playoff1aFase!$C$1:$AQ$44,19,FALSE)</f>
        <v>1</v>
      </c>
      <c r="S37" s="9" t="s">
        <v>98</v>
      </c>
      <c r="T37" s="46">
        <f>VLOOKUP($B37,Form_Playoff1aFase!$C$1:$AQ$44,20,FALSE)</f>
        <v>1</v>
      </c>
      <c r="U37" s="47" t="str">
        <f t="shared" si="13"/>
        <v>empate</v>
      </c>
      <c r="V37" s="48">
        <f>IF(R37=PLAYOFF_1aFASE!R$48,IF(PLAYOFF_1aFASE!T$48=T37,Pesos!$M$6,IF(U37=PLAYOFF_1aFASE!U$48,Pesos!$M$3,0)),IF(U37=PLAYOFF_1aFASE!U$48,Pesos!$M$3,0))*IF(COUNTIF(U$27:U$47,U37)=1,2,1)</f>
        <v>0</v>
      </c>
      <c r="W37" s="46">
        <f>VLOOKUP($B37,Form_Playoff1aFase!$C$1:$AQ$44,24,FALSE)</f>
        <v>2</v>
      </c>
      <c r="X37" s="9" t="s">
        <v>98</v>
      </c>
      <c r="Y37" s="46">
        <f>VLOOKUP($B37,Form_Playoff1aFase!$C$1:$AQ$44,25,FALSE)</f>
        <v>0</v>
      </c>
      <c r="Z37" s="47" t="str">
        <f t="shared" si="14"/>
        <v>casa</v>
      </c>
      <c r="AA37" s="48">
        <f>IF(W37=PLAYOFF_1aFASE!W$48,IF(PLAYOFF_1aFASE!Y$48=Y37,Pesos!$M$6,IF(Z37=PLAYOFF_1aFASE!Z$48,Pesos!$M$3,0)),IF(Z37=PLAYOFF_1aFASE!Z$48,Pesos!$M$3,0))*IF(COUNTIF(Z$27:Z$47,Z37)=1,2,1)</f>
        <v>0.5</v>
      </c>
      <c r="AB37" s="46">
        <f>VLOOKUP($B37,Form_Playoff1aFase!$C$1:$AQ$44,29,FALSE)</f>
        <v>2</v>
      </c>
      <c r="AC37" s="9" t="s">
        <v>98</v>
      </c>
      <c r="AD37" s="46">
        <f>VLOOKUP($B37,Form_Playoff1aFase!$C$1:$AQ$44,30,FALSE)</f>
        <v>0</v>
      </c>
      <c r="AE37" s="47" t="str">
        <f t="shared" si="15"/>
        <v>casa</v>
      </c>
      <c r="AF37" s="48">
        <f>IF(AB37=PLAYOFF_1aFASE!AB$48,IF(PLAYOFF_1aFASE!AD$48=AD37,Pesos!$M$6,IF(AE37=PLAYOFF_1aFASE!AE$48,Pesos!$M$3,0)),IF(AE37=PLAYOFF_1aFASE!AE$48,Pesos!$M$3,0))*IF(COUNTIF(AE$27:AE$47,AE37)=1,2,1)</f>
        <v>0.5</v>
      </c>
      <c r="AG37" s="46">
        <f>VLOOKUP($B37,Form_Playoff1aFase!$C$1:$AQ$44,34,FALSE)</f>
        <v>2</v>
      </c>
      <c r="AH37" s="9" t="s">
        <v>98</v>
      </c>
      <c r="AI37" s="46">
        <f>VLOOKUP($B37,Form_Playoff1aFase!$C$1:$AQ$44,35,FALSE)</f>
        <v>0</v>
      </c>
      <c r="AJ37" s="47" t="str">
        <f t="shared" si="16"/>
        <v>casa</v>
      </c>
      <c r="AK37" s="48">
        <f>IF(AG37=PLAYOFF_1aFASE!AG$48,IF(PLAYOFF_1aFASE!AI$48=AI37,Pesos!$M$6,IF(AJ37=PLAYOFF_1aFASE!AJ$48,Pesos!$M$3,0)),IF(AJ37=PLAYOFF_1aFASE!AJ$48,Pesos!$M$3,0))*IF(COUNTIF(AJ$27:AJ$47,AJ37)=1,2,1)</f>
        <v>0</v>
      </c>
      <c r="AL37" s="46">
        <f>VLOOKUP($B37,Form_Playoff1aFase!$C$1:$AQ$44,39,FALSE)</f>
        <v>2</v>
      </c>
      <c r="AM37" s="9" t="s">
        <v>98</v>
      </c>
      <c r="AN37" s="46">
        <f>VLOOKUP($B37,Form_Playoff1aFase!$C$1:$AQ$44,40,FALSE)</f>
        <v>0</v>
      </c>
      <c r="AO37" s="47" t="str">
        <f t="shared" si="17"/>
        <v>casa</v>
      </c>
      <c r="AP37" s="48">
        <f>IF(AL37=PLAYOFF_1aFASE!AL$48,IF(PLAYOFF_1aFASE!AN$48=AN37,Pesos!$M$6,IF(AO37=PLAYOFF_1aFASE!AO$48,Pesos!$M$3,0)),IF(AO37=PLAYOFF_1aFASE!AO$48,Pesos!$M$3,0))*IF(COUNTIF(AO$27:AO$47,AO37)=1,2,1)</f>
        <v>0</v>
      </c>
      <c r="AQ37" s="41"/>
      <c r="AR37" s="41">
        <f t="shared" si="18"/>
        <v>4</v>
      </c>
    </row>
    <row r="38" ht="14.25" customHeight="1">
      <c r="A38" s="41"/>
      <c r="B38" s="51" t="s">
        <v>15</v>
      </c>
      <c r="C38" s="46">
        <f>VLOOKUP($B38,Form_Playoff1aFase!$C$1:$AQ$44,4,FALSE)</f>
        <v>2</v>
      </c>
      <c r="D38" s="9" t="s">
        <v>98</v>
      </c>
      <c r="E38" s="46">
        <f>VLOOKUP($B38,Form_Playoff1aFase!$C$1:$AQ$44,5,FALSE)</f>
        <v>0</v>
      </c>
      <c r="F38" s="47" t="str">
        <f t="shared" si="10"/>
        <v>casa</v>
      </c>
      <c r="G38" s="48">
        <f>IF(C38=PLAYOFF_1aFASE!C$48,IF(PLAYOFF_1aFASE!E$48=E38,Pesos!$M$6,IF(F38=PLAYOFF_1aFASE!F$48,Pesos!$M$3,0)),IF(F38=PLAYOFF_1aFASE!F$48,Pesos!$M$3,0))*IF(COUNTIF(F$27:F$47,F38)=1,2,1)</f>
        <v>0</v>
      </c>
      <c r="H38" s="46">
        <f>VLOOKUP($B38,Form_Playoff1aFase!$C$1:$AQ$44,9,FALSE)</f>
        <v>2</v>
      </c>
      <c r="I38" s="9" t="s">
        <v>98</v>
      </c>
      <c r="J38" s="46">
        <f>VLOOKUP($B38,Form_Playoff1aFase!$C$1:$AQ$44,10,FALSE)</f>
        <v>0</v>
      </c>
      <c r="K38" s="47" t="str">
        <f t="shared" si="11"/>
        <v>casa</v>
      </c>
      <c r="L38" s="48">
        <f>IF(H38=PLAYOFF_1aFASE!H$48,IF(PLAYOFF_1aFASE!J$48=J38,Pesos!$M$6,IF(K38=PLAYOFF_1aFASE!K$48,Pesos!$M$3,0)),IF(K38=PLAYOFF_1aFASE!K$48,Pesos!$M$3,0))*IF(COUNTIF(K$27:K$47,K38)=1,2,1)</f>
        <v>0.5</v>
      </c>
      <c r="M38" s="46">
        <f>VLOOKUP($B38,Form_Playoff1aFase!$C$1:$AQ$44,14,FALSE)</f>
        <v>5</v>
      </c>
      <c r="N38" s="9" t="s">
        <v>98</v>
      </c>
      <c r="O38" s="46">
        <f>VLOOKUP($B38,Form_Playoff1aFase!$C$1:$AQ$44,15,FALSE)</f>
        <v>1</v>
      </c>
      <c r="P38" s="47" t="str">
        <f t="shared" si="12"/>
        <v>casa</v>
      </c>
      <c r="Q38" s="48">
        <f>IF(M38=PLAYOFF_1aFASE!M$48,IF(PLAYOFF_1aFASE!O$48=O38,Pesos!$M$6,IF(P38=PLAYOFF_1aFASE!P$48,Pesos!$M$3,0)),IF(P38=PLAYOFF_1aFASE!P$48,Pesos!$M$3,0))*IF(COUNTIF(P$27:P$47,P38)=1,2,1)</f>
        <v>0.5</v>
      </c>
      <c r="R38" s="46">
        <f>VLOOKUP($B38,Form_Playoff1aFase!$C$1:$AQ$44,19,FALSE)</f>
        <v>1</v>
      </c>
      <c r="S38" s="9" t="s">
        <v>98</v>
      </c>
      <c r="T38" s="46">
        <f>VLOOKUP($B38,Form_Playoff1aFase!$C$1:$AQ$44,20,FALSE)</f>
        <v>1</v>
      </c>
      <c r="U38" s="47" t="str">
        <f t="shared" si="13"/>
        <v>empate</v>
      </c>
      <c r="V38" s="48">
        <f>IF(R38=PLAYOFF_1aFASE!R$48,IF(PLAYOFF_1aFASE!T$48=T38,Pesos!$M$6,IF(U38=PLAYOFF_1aFASE!U$48,Pesos!$M$3,0)),IF(U38=PLAYOFF_1aFASE!U$48,Pesos!$M$3,0))*IF(COUNTIF(U$27:U$47,U38)=1,2,1)</f>
        <v>0</v>
      </c>
      <c r="W38" s="46">
        <f>VLOOKUP($B38,Form_Playoff1aFase!$C$1:$AQ$44,24,FALSE)</f>
        <v>2</v>
      </c>
      <c r="X38" s="9" t="s">
        <v>98</v>
      </c>
      <c r="Y38" s="46">
        <f>VLOOKUP($B38,Form_Playoff1aFase!$C$1:$AQ$44,25,FALSE)</f>
        <v>0</v>
      </c>
      <c r="Z38" s="47" t="str">
        <f t="shared" si="14"/>
        <v>casa</v>
      </c>
      <c r="AA38" s="48">
        <f>IF(W38=PLAYOFF_1aFASE!W$48,IF(PLAYOFF_1aFASE!Y$48=Y38,Pesos!$M$6,IF(Z38=PLAYOFF_1aFASE!Z$48,Pesos!$M$3,0)),IF(Z38=PLAYOFF_1aFASE!Z$48,Pesos!$M$3,0))*IF(COUNTIF(Z$27:Z$47,Z38)=1,2,1)</f>
        <v>0.5</v>
      </c>
      <c r="AB38" s="46">
        <f>VLOOKUP($B38,Form_Playoff1aFase!$C$1:$AQ$44,29,FALSE)</f>
        <v>1</v>
      </c>
      <c r="AC38" s="9" t="s">
        <v>98</v>
      </c>
      <c r="AD38" s="46">
        <f>VLOOKUP($B38,Form_Playoff1aFase!$C$1:$AQ$44,30,FALSE)</f>
        <v>1</v>
      </c>
      <c r="AE38" s="47" t="str">
        <f t="shared" si="15"/>
        <v>empate</v>
      </c>
      <c r="AF38" s="48">
        <f>IF(AB38=PLAYOFF_1aFASE!AB$48,IF(PLAYOFF_1aFASE!AD$48=AD38,Pesos!$M$6,IF(AE38=PLAYOFF_1aFASE!AE$48,Pesos!$M$3,0)),IF(AE38=PLAYOFF_1aFASE!AE$48,Pesos!$M$3,0))*IF(COUNTIF(AE$27:AE$47,AE38)=1,2,1)</f>
        <v>0</v>
      </c>
      <c r="AG38" s="46">
        <f>VLOOKUP($B38,Form_Playoff1aFase!$C$1:$AQ$44,34,FALSE)</f>
        <v>4</v>
      </c>
      <c r="AH38" s="9" t="s">
        <v>98</v>
      </c>
      <c r="AI38" s="46">
        <f>VLOOKUP($B38,Form_Playoff1aFase!$C$1:$AQ$44,35,FALSE)</f>
        <v>0</v>
      </c>
      <c r="AJ38" s="47" t="str">
        <f t="shared" si="16"/>
        <v>casa</v>
      </c>
      <c r="AK38" s="48">
        <f>IF(AG38=PLAYOFF_1aFASE!AG$48,IF(PLAYOFF_1aFASE!AI$48=AI38,Pesos!$M$6,IF(AJ38=PLAYOFF_1aFASE!AJ$48,Pesos!$M$3,0)),IF(AJ38=PLAYOFF_1aFASE!AJ$48,Pesos!$M$3,0))*IF(COUNTIF(AJ$27:AJ$47,AJ38)=1,2,1)</f>
        <v>0</v>
      </c>
      <c r="AL38" s="46">
        <f>VLOOKUP($B38,Form_Playoff1aFase!$C$1:$AQ$44,39,FALSE)</f>
        <v>2</v>
      </c>
      <c r="AM38" s="9" t="s">
        <v>98</v>
      </c>
      <c r="AN38" s="46">
        <f>VLOOKUP($B38,Form_Playoff1aFase!$C$1:$AQ$44,40,FALSE)</f>
        <v>0</v>
      </c>
      <c r="AO38" s="47" t="str">
        <f t="shared" si="17"/>
        <v>casa</v>
      </c>
      <c r="AP38" s="48">
        <f>IF(AL38=PLAYOFF_1aFASE!AL$48,IF(PLAYOFF_1aFASE!AN$48=AN38,Pesos!$M$6,IF(AO38=PLAYOFF_1aFASE!AO$48,Pesos!$M$3,0)),IF(AO38=PLAYOFF_1aFASE!AO$48,Pesos!$M$3,0))*IF(COUNTIF(AO$27:AO$47,AO38)=1,2,1)</f>
        <v>0</v>
      </c>
      <c r="AQ38" s="41"/>
      <c r="AR38" s="41">
        <f t="shared" si="18"/>
        <v>3</v>
      </c>
    </row>
    <row r="39" ht="14.25" customHeight="1">
      <c r="A39" s="41"/>
      <c r="B39" s="51" t="s">
        <v>12</v>
      </c>
      <c r="C39" s="46">
        <f>VLOOKUP($B39,Form_Playoff1aFase!$C$1:$AQ$44,4,FALSE)</f>
        <v>2</v>
      </c>
      <c r="D39" s="9" t="s">
        <v>98</v>
      </c>
      <c r="E39" s="46">
        <f>VLOOKUP($B39,Form_Playoff1aFase!$C$1:$AQ$44,5,FALSE)</f>
        <v>0</v>
      </c>
      <c r="F39" s="47" t="str">
        <f t="shared" si="10"/>
        <v>casa</v>
      </c>
      <c r="G39" s="48">
        <f>IF(C39=PLAYOFF_1aFASE!C$48,IF(PLAYOFF_1aFASE!E$48=E39,Pesos!$M$6,IF(F39=PLAYOFF_1aFASE!F$48,Pesos!$M$3,0)),IF(F39=PLAYOFF_1aFASE!F$48,Pesos!$M$3,0))*IF(COUNTIF(F$27:F$47,F39)=1,2,1)</f>
        <v>0</v>
      </c>
      <c r="H39" s="46">
        <f>VLOOKUP($B39,Form_Playoff1aFase!$C$1:$AQ$44,9,FALSE)</f>
        <v>2</v>
      </c>
      <c r="I39" s="9" t="s">
        <v>98</v>
      </c>
      <c r="J39" s="46">
        <f>VLOOKUP($B39,Form_Playoff1aFase!$C$1:$AQ$44,10,FALSE)</f>
        <v>0</v>
      </c>
      <c r="K39" s="47" t="str">
        <f t="shared" si="11"/>
        <v>casa</v>
      </c>
      <c r="L39" s="48">
        <f>IF(H39=PLAYOFF_1aFASE!H$48,IF(PLAYOFF_1aFASE!J$48=J39,Pesos!$M$6,IF(K39=PLAYOFF_1aFASE!K$48,Pesos!$M$3,0)),IF(K39=PLAYOFF_1aFASE!K$48,Pesos!$M$3,0))*IF(COUNTIF(K$27:K$47,K39)=1,2,1)</f>
        <v>0.5</v>
      </c>
      <c r="M39" s="46">
        <f>VLOOKUP($B39,Form_Playoff1aFase!$C$1:$AQ$44,14,FALSE)</f>
        <v>2</v>
      </c>
      <c r="N39" s="9" t="s">
        <v>98</v>
      </c>
      <c r="O39" s="46">
        <f>VLOOKUP($B39,Form_Playoff1aFase!$C$1:$AQ$44,15,FALSE)</f>
        <v>1</v>
      </c>
      <c r="P39" s="47" t="str">
        <f t="shared" si="12"/>
        <v>casa</v>
      </c>
      <c r="Q39" s="48">
        <f>IF(M39=PLAYOFF_1aFASE!M$48,IF(PLAYOFF_1aFASE!O$48=O39,Pesos!$M$6,IF(P39=PLAYOFF_1aFASE!P$48,Pesos!$M$3,0)),IF(P39=PLAYOFF_1aFASE!P$48,Pesos!$M$3,0))*IF(COUNTIF(P$27:P$47,P39)=1,2,1)</f>
        <v>3</v>
      </c>
      <c r="R39" s="46">
        <f>VLOOKUP($B39,Form_Playoff1aFase!$C$1:$AQ$44,19,FALSE)</f>
        <v>2</v>
      </c>
      <c r="S39" s="9" t="s">
        <v>98</v>
      </c>
      <c r="T39" s="46">
        <f>VLOOKUP($B39,Form_Playoff1aFase!$C$1:$AQ$44,20,FALSE)</f>
        <v>2</v>
      </c>
      <c r="U39" s="47" t="str">
        <f t="shared" si="13"/>
        <v>empate</v>
      </c>
      <c r="V39" s="48">
        <f>IF(R39=PLAYOFF_1aFASE!R$48,IF(PLAYOFF_1aFASE!T$48=T39,Pesos!$M$6,IF(U39=PLAYOFF_1aFASE!U$48,Pesos!$M$3,0)),IF(U39=PLAYOFF_1aFASE!U$48,Pesos!$M$3,0))*IF(COUNTIF(U$27:U$47,U39)=1,2,1)</f>
        <v>0</v>
      </c>
      <c r="W39" s="46">
        <f>VLOOKUP($B39,Form_Playoff1aFase!$C$1:$AQ$44,24,FALSE)</f>
        <v>1</v>
      </c>
      <c r="X39" s="9" t="s">
        <v>98</v>
      </c>
      <c r="Y39" s="46">
        <f>VLOOKUP($B39,Form_Playoff1aFase!$C$1:$AQ$44,25,FALSE)</f>
        <v>0</v>
      </c>
      <c r="Z39" s="47" t="str">
        <f t="shared" si="14"/>
        <v>casa</v>
      </c>
      <c r="AA39" s="48">
        <f>IF(W39=PLAYOFF_1aFASE!W$48,IF(PLAYOFF_1aFASE!Y$48=Y39,Pesos!$M$6,IF(Z39=PLAYOFF_1aFASE!Z$48,Pesos!$M$3,0)),IF(Z39=PLAYOFF_1aFASE!Z$48,Pesos!$M$3,0))*IF(COUNTIF(Z$27:Z$47,Z39)=1,2,1)</f>
        <v>0.5</v>
      </c>
      <c r="AB39" s="46">
        <f>VLOOKUP($B39,Form_Playoff1aFase!$C$1:$AQ$44,29,FALSE)</f>
        <v>1</v>
      </c>
      <c r="AC39" s="9" t="s">
        <v>98</v>
      </c>
      <c r="AD39" s="46">
        <f>VLOOKUP($B39,Form_Playoff1aFase!$C$1:$AQ$44,30,FALSE)</f>
        <v>1</v>
      </c>
      <c r="AE39" s="47" t="str">
        <f t="shared" si="15"/>
        <v>empate</v>
      </c>
      <c r="AF39" s="48">
        <f>IF(AB39=PLAYOFF_1aFASE!AB$48,IF(PLAYOFF_1aFASE!AD$48=AD39,Pesos!$M$6,IF(AE39=PLAYOFF_1aFASE!AE$48,Pesos!$M$3,0)),IF(AE39=PLAYOFF_1aFASE!AE$48,Pesos!$M$3,0))*IF(COUNTIF(AE$27:AE$47,AE39)=1,2,1)</f>
        <v>0</v>
      </c>
      <c r="AG39" s="46">
        <f>VLOOKUP($B39,Form_Playoff1aFase!$C$1:$AQ$44,34,FALSE)</f>
        <v>2</v>
      </c>
      <c r="AH39" s="9" t="s">
        <v>98</v>
      </c>
      <c r="AI39" s="46">
        <f>VLOOKUP($B39,Form_Playoff1aFase!$C$1:$AQ$44,35,FALSE)</f>
        <v>0</v>
      </c>
      <c r="AJ39" s="47" t="str">
        <f t="shared" si="16"/>
        <v>casa</v>
      </c>
      <c r="AK39" s="48">
        <f>IF(AG39=PLAYOFF_1aFASE!AG$48,IF(PLAYOFF_1aFASE!AI$48=AI39,Pesos!$M$6,IF(AJ39=PLAYOFF_1aFASE!AJ$48,Pesos!$M$3,0)),IF(AJ39=PLAYOFF_1aFASE!AJ$48,Pesos!$M$3,0))*IF(COUNTIF(AJ$27:AJ$47,AJ39)=1,2,1)</f>
        <v>0</v>
      </c>
      <c r="AL39" s="46">
        <f>VLOOKUP($B39,Form_Playoff1aFase!$C$1:$AQ$44,39,FALSE)</f>
        <v>1</v>
      </c>
      <c r="AM39" s="9" t="s">
        <v>98</v>
      </c>
      <c r="AN39" s="46">
        <f>VLOOKUP($B39,Form_Playoff1aFase!$C$1:$AQ$44,40,FALSE)</f>
        <v>0</v>
      </c>
      <c r="AO39" s="47" t="str">
        <f t="shared" si="17"/>
        <v>casa</v>
      </c>
      <c r="AP39" s="48">
        <f>IF(AL39=PLAYOFF_1aFASE!AL$48,IF(PLAYOFF_1aFASE!AN$48=AN39,Pesos!$M$6,IF(AO39=PLAYOFF_1aFASE!AO$48,Pesos!$M$3,0)),IF(AO39=PLAYOFF_1aFASE!AO$48,Pesos!$M$3,0))*IF(COUNTIF(AO$27:AO$47,AO39)=1,2,1)</f>
        <v>0</v>
      </c>
      <c r="AQ39" s="41"/>
      <c r="AR39" s="41">
        <f t="shared" si="18"/>
        <v>3</v>
      </c>
    </row>
    <row r="40" ht="14.25" customHeight="1">
      <c r="A40" s="41"/>
      <c r="B40" s="51" t="s">
        <v>8</v>
      </c>
      <c r="C40" s="46">
        <f>VLOOKUP($B40,Form_Playoff1aFase!$C$1:$AQ$44,4,FALSE)</f>
        <v>2</v>
      </c>
      <c r="D40" s="9" t="s">
        <v>98</v>
      </c>
      <c r="E40" s="46">
        <f>VLOOKUP($B40,Form_Playoff1aFase!$C$1:$AQ$44,5,FALSE)</f>
        <v>1</v>
      </c>
      <c r="F40" s="47" t="str">
        <f t="shared" si="10"/>
        <v>casa</v>
      </c>
      <c r="G40" s="48">
        <f>IF(C40=PLAYOFF_1aFASE!C$48,IF(PLAYOFF_1aFASE!E$48=E40,Pesos!$M$6,IF(F40=PLAYOFF_1aFASE!F$48,Pesos!$M$3,0)),IF(F40=PLAYOFF_1aFASE!F$48,Pesos!$M$3,0))*IF(COUNTIF(F$27:F$47,F40)=1,2,1)</f>
        <v>0</v>
      </c>
      <c r="H40" s="46">
        <f>VLOOKUP($B40,Form_Playoff1aFase!$C$1:$AQ$44,9,FALSE)</f>
        <v>3</v>
      </c>
      <c r="I40" s="9" t="s">
        <v>98</v>
      </c>
      <c r="J40" s="46">
        <f>VLOOKUP($B40,Form_Playoff1aFase!$C$1:$AQ$44,10,FALSE)</f>
        <v>1</v>
      </c>
      <c r="K40" s="47" t="str">
        <f t="shared" si="11"/>
        <v>casa</v>
      </c>
      <c r="L40" s="48">
        <f>IF(H40=PLAYOFF_1aFASE!H$48,IF(PLAYOFF_1aFASE!J$48=J40,Pesos!$M$6,IF(K40=PLAYOFF_1aFASE!K$48,Pesos!$M$3,0)),IF(K40=PLAYOFF_1aFASE!K$48,Pesos!$M$3,0))*IF(COUNTIF(K$27:K$47,K40)=1,2,1)</f>
        <v>0.5</v>
      </c>
      <c r="M40" s="46">
        <f>VLOOKUP($B40,Form_Playoff1aFase!$C$1:$AQ$44,14,FALSE)</f>
        <v>2</v>
      </c>
      <c r="N40" s="9" t="s">
        <v>98</v>
      </c>
      <c r="O40" s="46">
        <f>VLOOKUP($B40,Form_Playoff1aFase!$C$1:$AQ$44,15,FALSE)</f>
        <v>1</v>
      </c>
      <c r="P40" s="47" t="str">
        <f t="shared" si="12"/>
        <v>casa</v>
      </c>
      <c r="Q40" s="48">
        <f>IF(M40=PLAYOFF_1aFASE!M$48,IF(PLAYOFF_1aFASE!O$48=O40,Pesos!$M$6,IF(P40=PLAYOFF_1aFASE!P$48,Pesos!$M$3,0)),IF(P40=PLAYOFF_1aFASE!P$48,Pesos!$M$3,0))*IF(COUNTIF(P$27:P$47,P40)=1,2,1)</f>
        <v>3</v>
      </c>
      <c r="R40" s="46">
        <f>VLOOKUP($B40,Form_Playoff1aFase!$C$1:$AQ$44,19,FALSE)</f>
        <v>1</v>
      </c>
      <c r="S40" s="9" t="s">
        <v>98</v>
      </c>
      <c r="T40" s="46">
        <f>VLOOKUP($B40,Form_Playoff1aFase!$C$1:$AQ$44,20,FALSE)</f>
        <v>1</v>
      </c>
      <c r="U40" s="47" t="str">
        <f t="shared" si="13"/>
        <v>empate</v>
      </c>
      <c r="V40" s="48">
        <f>IF(R40=PLAYOFF_1aFASE!R$48,IF(PLAYOFF_1aFASE!T$48=T40,Pesos!$M$6,IF(U40=PLAYOFF_1aFASE!U$48,Pesos!$M$3,0)),IF(U40=PLAYOFF_1aFASE!U$48,Pesos!$M$3,0))*IF(COUNTIF(U$27:U$47,U40)=1,2,1)</f>
        <v>0</v>
      </c>
      <c r="W40" s="46">
        <f>VLOOKUP($B40,Form_Playoff1aFase!$C$1:$AQ$44,24,FALSE)</f>
        <v>2</v>
      </c>
      <c r="X40" s="9" t="s">
        <v>98</v>
      </c>
      <c r="Y40" s="46">
        <f>VLOOKUP($B40,Form_Playoff1aFase!$C$1:$AQ$44,25,FALSE)</f>
        <v>0</v>
      </c>
      <c r="Z40" s="47" t="str">
        <f t="shared" si="14"/>
        <v>casa</v>
      </c>
      <c r="AA40" s="48">
        <f>IF(W40=PLAYOFF_1aFASE!W$48,IF(PLAYOFF_1aFASE!Y$48=Y40,Pesos!$M$6,IF(Z40=PLAYOFF_1aFASE!Z$48,Pesos!$M$3,0)),IF(Z40=PLAYOFF_1aFASE!Z$48,Pesos!$M$3,0))*IF(COUNTIF(Z$27:Z$47,Z40)=1,2,1)</f>
        <v>0.5</v>
      </c>
      <c r="AB40" s="46">
        <f>VLOOKUP($B40,Form_Playoff1aFase!$C$1:$AQ$44,29,FALSE)</f>
        <v>3</v>
      </c>
      <c r="AC40" s="9" t="s">
        <v>98</v>
      </c>
      <c r="AD40" s="46">
        <f>VLOOKUP($B40,Form_Playoff1aFase!$C$1:$AQ$44,30,FALSE)</f>
        <v>1</v>
      </c>
      <c r="AE40" s="47" t="str">
        <f t="shared" si="15"/>
        <v>casa</v>
      </c>
      <c r="AF40" s="48">
        <f>IF(AB40=PLAYOFF_1aFASE!AB$48,IF(PLAYOFF_1aFASE!AD$48=AD40,Pesos!$M$6,IF(AE40=PLAYOFF_1aFASE!AE$48,Pesos!$M$3,0)),IF(AE40=PLAYOFF_1aFASE!AE$48,Pesos!$M$3,0))*IF(COUNTIF(AE$27:AE$47,AE40)=1,2,1)</f>
        <v>0.5</v>
      </c>
      <c r="AG40" s="46">
        <f>VLOOKUP($B40,Form_Playoff1aFase!$C$1:$AQ$44,34,FALSE)</f>
        <v>2</v>
      </c>
      <c r="AH40" s="9" t="s">
        <v>98</v>
      </c>
      <c r="AI40" s="46">
        <f>VLOOKUP($B40,Form_Playoff1aFase!$C$1:$AQ$44,35,FALSE)</f>
        <v>0</v>
      </c>
      <c r="AJ40" s="47" t="str">
        <f t="shared" si="16"/>
        <v>casa</v>
      </c>
      <c r="AK40" s="48">
        <f>IF(AG40=PLAYOFF_1aFASE!AG$48,IF(PLAYOFF_1aFASE!AI$48=AI40,Pesos!$M$6,IF(AJ40=PLAYOFF_1aFASE!AJ$48,Pesos!$M$3,0)),IF(AJ40=PLAYOFF_1aFASE!AJ$48,Pesos!$M$3,0))*IF(COUNTIF(AJ$27:AJ$47,AJ40)=1,2,1)</f>
        <v>0</v>
      </c>
      <c r="AL40" s="46">
        <f>VLOOKUP($B40,Form_Playoff1aFase!$C$1:$AQ$44,39,FALSE)</f>
        <v>2</v>
      </c>
      <c r="AM40" s="9" t="s">
        <v>98</v>
      </c>
      <c r="AN40" s="46">
        <f>VLOOKUP($B40,Form_Playoff1aFase!$C$1:$AQ$44,40,FALSE)</f>
        <v>1</v>
      </c>
      <c r="AO40" s="47" t="str">
        <f t="shared" si="17"/>
        <v>casa</v>
      </c>
      <c r="AP40" s="48">
        <f>IF(AL40=PLAYOFF_1aFASE!AL$48,IF(PLAYOFF_1aFASE!AN$48=AN40,Pesos!$M$6,IF(AO40=PLAYOFF_1aFASE!AO$48,Pesos!$M$3,0)),IF(AO40=PLAYOFF_1aFASE!AO$48,Pesos!$M$3,0))*IF(COUNTIF(AO$27:AO$47,AO40)=1,2,1)</f>
        <v>0</v>
      </c>
      <c r="AQ40" s="41"/>
      <c r="AR40" s="41">
        <f t="shared" si="18"/>
        <v>4</v>
      </c>
    </row>
    <row r="41" ht="14.25" customHeight="1">
      <c r="A41" s="41"/>
      <c r="B41" s="51" t="s">
        <v>16</v>
      </c>
      <c r="C41" s="46">
        <f>VLOOKUP($B41,Form_Playoff1aFase!$C$1:$AQ$44,4,FALSE)</f>
        <v>3</v>
      </c>
      <c r="D41" s="9" t="s">
        <v>98</v>
      </c>
      <c r="E41" s="46">
        <f>VLOOKUP($B41,Form_Playoff1aFase!$C$1:$AQ$44,5,FALSE)</f>
        <v>0</v>
      </c>
      <c r="F41" s="47" t="str">
        <f t="shared" si="10"/>
        <v>casa</v>
      </c>
      <c r="G41" s="48">
        <f>IF(C41=PLAYOFF_1aFASE!C$48,IF(PLAYOFF_1aFASE!E$48=E41,Pesos!$M$6,IF(F41=PLAYOFF_1aFASE!F$48,Pesos!$M$3,0)),IF(F41=PLAYOFF_1aFASE!F$48,Pesos!$M$3,0))*IF(COUNTIF(F$27:F$47,F41)=1,2,1)</f>
        <v>0</v>
      </c>
      <c r="H41" s="46">
        <f>VLOOKUP($B41,Form_Playoff1aFase!$C$1:$AQ$44,9,FALSE)</f>
        <v>2</v>
      </c>
      <c r="I41" s="9" t="s">
        <v>98</v>
      </c>
      <c r="J41" s="46">
        <f>VLOOKUP($B41,Form_Playoff1aFase!$C$1:$AQ$44,10,FALSE)</f>
        <v>0</v>
      </c>
      <c r="K41" s="47" t="str">
        <f t="shared" si="11"/>
        <v>casa</v>
      </c>
      <c r="L41" s="48">
        <f>IF(H41=PLAYOFF_1aFASE!H$48,IF(PLAYOFF_1aFASE!J$48=J41,Pesos!$M$6,IF(K41=PLAYOFF_1aFASE!K$48,Pesos!$M$3,0)),IF(K41=PLAYOFF_1aFASE!K$48,Pesos!$M$3,0))*IF(COUNTIF(K$27:K$47,K41)=1,2,1)</f>
        <v>0.5</v>
      </c>
      <c r="M41" s="46">
        <f>VLOOKUP($B41,Form_Playoff1aFase!$C$1:$AQ$44,14,FALSE)</f>
        <v>3</v>
      </c>
      <c r="N41" s="9" t="s">
        <v>98</v>
      </c>
      <c r="O41" s="46">
        <f>VLOOKUP($B41,Form_Playoff1aFase!$C$1:$AQ$44,15,FALSE)</f>
        <v>1</v>
      </c>
      <c r="P41" s="47" t="str">
        <f t="shared" si="12"/>
        <v>casa</v>
      </c>
      <c r="Q41" s="48">
        <f>IF(M41=PLAYOFF_1aFASE!M$48,IF(PLAYOFF_1aFASE!O$48=O41,Pesos!$M$6,IF(P41=PLAYOFF_1aFASE!P$48,Pesos!$M$3,0)),IF(P41=PLAYOFF_1aFASE!P$48,Pesos!$M$3,0))*IF(COUNTIF(P$27:P$47,P41)=1,2,1)</f>
        <v>0.5</v>
      </c>
      <c r="R41" s="46">
        <f>VLOOKUP($B41,Form_Playoff1aFase!$C$1:$AQ$44,19,FALSE)</f>
        <v>2</v>
      </c>
      <c r="S41" s="9" t="s">
        <v>98</v>
      </c>
      <c r="T41" s="46">
        <f>VLOOKUP($B41,Form_Playoff1aFase!$C$1:$AQ$44,20,FALSE)</f>
        <v>2</v>
      </c>
      <c r="U41" s="47" t="str">
        <f t="shared" si="13"/>
        <v>empate</v>
      </c>
      <c r="V41" s="48">
        <f>IF(R41=PLAYOFF_1aFASE!R$48,IF(PLAYOFF_1aFASE!T$48=T41,Pesos!$M$6,IF(U41=PLAYOFF_1aFASE!U$48,Pesos!$M$3,0)),IF(U41=PLAYOFF_1aFASE!U$48,Pesos!$M$3,0))*IF(COUNTIF(U$27:U$47,U41)=1,2,1)</f>
        <v>0</v>
      </c>
      <c r="W41" s="46">
        <f>VLOOKUP($B41,Form_Playoff1aFase!$C$1:$AQ$44,24,FALSE)</f>
        <v>2</v>
      </c>
      <c r="X41" s="9" t="s">
        <v>98</v>
      </c>
      <c r="Y41" s="46">
        <f>VLOOKUP($B41,Form_Playoff1aFase!$C$1:$AQ$44,25,FALSE)</f>
        <v>0</v>
      </c>
      <c r="Z41" s="47" t="str">
        <f t="shared" si="14"/>
        <v>casa</v>
      </c>
      <c r="AA41" s="48">
        <f>IF(W41=PLAYOFF_1aFASE!W$48,IF(PLAYOFF_1aFASE!Y$48=Y41,Pesos!$M$6,IF(Z41=PLAYOFF_1aFASE!Z$48,Pesos!$M$3,0)),IF(Z41=PLAYOFF_1aFASE!Z$48,Pesos!$M$3,0))*IF(COUNTIF(Z$27:Z$47,Z41)=1,2,1)</f>
        <v>0.5</v>
      </c>
      <c r="AB41" s="46">
        <f>VLOOKUP($B41,Form_Playoff1aFase!$C$1:$AQ$44,29,FALSE)</f>
        <v>3</v>
      </c>
      <c r="AC41" s="9" t="s">
        <v>98</v>
      </c>
      <c r="AD41" s="46">
        <f>VLOOKUP($B41,Form_Playoff1aFase!$C$1:$AQ$44,30,FALSE)</f>
        <v>1</v>
      </c>
      <c r="AE41" s="47" t="str">
        <f t="shared" si="15"/>
        <v>casa</v>
      </c>
      <c r="AF41" s="48">
        <f>IF(AB41=PLAYOFF_1aFASE!AB$48,IF(PLAYOFF_1aFASE!AD$48=AD41,Pesos!$M$6,IF(AE41=PLAYOFF_1aFASE!AE$48,Pesos!$M$3,0)),IF(AE41=PLAYOFF_1aFASE!AE$48,Pesos!$M$3,0))*IF(COUNTIF(AE$27:AE$47,AE41)=1,2,1)</f>
        <v>0.5</v>
      </c>
      <c r="AG41" s="46">
        <f>VLOOKUP($B41,Form_Playoff1aFase!$C$1:$AQ$44,34,FALSE)</f>
        <v>2</v>
      </c>
      <c r="AH41" s="9" t="s">
        <v>98</v>
      </c>
      <c r="AI41" s="46">
        <f>VLOOKUP($B41,Form_Playoff1aFase!$C$1:$AQ$44,35,FALSE)</f>
        <v>0</v>
      </c>
      <c r="AJ41" s="47" t="str">
        <f t="shared" si="16"/>
        <v>casa</v>
      </c>
      <c r="AK41" s="48">
        <f>IF(AG41=PLAYOFF_1aFASE!AG$48,IF(PLAYOFF_1aFASE!AI$48=AI41,Pesos!$M$6,IF(AJ41=PLAYOFF_1aFASE!AJ$48,Pesos!$M$3,0)),IF(AJ41=PLAYOFF_1aFASE!AJ$48,Pesos!$M$3,0))*IF(COUNTIF(AJ$27:AJ$47,AJ41)=1,2,1)</f>
        <v>0</v>
      </c>
      <c r="AL41" s="46">
        <f>VLOOKUP($B41,Form_Playoff1aFase!$C$1:$AQ$44,39,FALSE)</f>
        <v>1</v>
      </c>
      <c r="AM41" s="9" t="s">
        <v>98</v>
      </c>
      <c r="AN41" s="46">
        <f>VLOOKUP($B41,Form_Playoff1aFase!$C$1:$AQ$44,40,FALSE)</f>
        <v>1</v>
      </c>
      <c r="AO41" s="47" t="str">
        <f t="shared" si="17"/>
        <v>empate</v>
      </c>
      <c r="AP41" s="48">
        <f>IF(AL41=PLAYOFF_1aFASE!AL$48,IF(PLAYOFF_1aFASE!AN$48=AN41,Pesos!$M$6,IF(AO41=PLAYOFF_1aFASE!AO$48,Pesos!$M$3,0)),IF(AO41=PLAYOFF_1aFASE!AO$48,Pesos!$M$3,0))*IF(COUNTIF(AO$27:AO$47,AO41)=1,2,1)</f>
        <v>0.5</v>
      </c>
      <c r="AQ41" s="41"/>
      <c r="AR41" s="41">
        <f t="shared" si="18"/>
        <v>5</v>
      </c>
    </row>
    <row r="42" ht="14.25" customHeight="1">
      <c r="A42" s="41"/>
      <c r="B42" s="51" t="s">
        <v>11</v>
      </c>
      <c r="C42" s="46">
        <f>VLOOKUP($B42,Form_Playoff1aFase!$C$1:$AQ$44,4,FALSE)</f>
        <v>3</v>
      </c>
      <c r="D42" s="9" t="s">
        <v>98</v>
      </c>
      <c r="E42" s="46">
        <f>VLOOKUP($B42,Form_Playoff1aFase!$C$1:$AQ$44,5,FALSE)</f>
        <v>1</v>
      </c>
      <c r="F42" s="47" t="str">
        <f t="shared" si="10"/>
        <v>casa</v>
      </c>
      <c r="G42" s="48">
        <f>IF(C42=PLAYOFF_1aFASE!C$48,IF(PLAYOFF_1aFASE!E$48=E42,Pesos!$M$6,IF(F42=PLAYOFF_1aFASE!F$48,Pesos!$M$3,0)),IF(F42=PLAYOFF_1aFASE!F$48,Pesos!$M$3,0))*IF(COUNTIF(F$27:F$47,F42)=1,2,1)</f>
        <v>0</v>
      </c>
      <c r="H42" s="46">
        <f>VLOOKUP($B42,Form_Playoff1aFase!$C$1:$AQ$44,9,FALSE)</f>
        <v>2</v>
      </c>
      <c r="I42" s="9" t="s">
        <v>98</v>
      </c>
      <c r="J42" s="46">
        <f>VLOOKUP($B42,Form_Playoff1aFase!$C$1:$AQ$44,10,FALSE)</f>
        <v>0</v>
      </c>
      <c r="K42" s="47" t="str">
        <f t="shared" si="11"/>
        <v>casa</v>
      </c>
      <c r="L42" s="48">
        <f>IF(H42=PLAYOFF_1aFASE!H$48,IF(PLAYOFF_1aFASE!J$48=J42,Pesos!$M$6,IF(K42=PLAYOFF_1aFASE!K$48,Pesos!$M$3,0)),IF(K42=PLAYOFF_1aFASE!K$48,Pesos!$M$3,0))*IF(COUNTIF(K$27:K$47,K42)=1,2,1)</f>
        <v>0.5</v>
      </c>
      <c r="M42" s="46">
        <f>VLOOKUP($B42,Form_Playoff1aFase!$C$1:$AQ$44,14,FALSE)</f>
        <v>2</v>
      </c>
      <c r="N42" s="9" t="s">
        <v>98</v>
      </c>
      <c r="O42" s="46">
        <f>VLOOKUP($B42,Form_Playoff1aFase!$C$1:$AQ$44,15,FALSE)</f>
        <v>2</v>
      </c>
      <c r="P42" s="47" t="str">
        <f t="shared" si="12"/>
        <v>empate</v>
      </c>
      <c r="Q42" s="48">
        <f>IF(M42=PLAYOFF_1aFASE!M$48,IF(PLAYOFF_1aFASE!O$48=O42,Pesos!$M$6,IF(P42=PLAYOFF_1aFASE!P$48,Pesos!$M$3,0)),IF(P42=PLAYOFF_1aFASE!P$48,Pesos!$M$3,0))*IF(COUNTIF(P$27:P$47,P42)=1,2,1)</f>
        <v>0</v>
      </c>
      <c r="R42" s="46">
        <f>VLOOKUP($B42,Form_Playoff1aFase!$C$1:$AQ$44,19,FALSE)</f>
        <v>2</v>
      </c>
      <c r="S42" s="9" t="s">
        <v>98</v>
      </c>
      <c r="T42" s="46">
        <f>VLOOKUP($B42,Form_Playoff1aFase!$C$1:$AQ$44,20,FALSE)</f>
        <v>0</v>
      </c>
      <c r="U42" s="47" t="str">
        <f t="shared" si="13"/>
        <v>casa</v>
      </c>
      <c r="V42" s="48">
        <f>IF(R42=PLAYOFF_1aFASE!R$48,IF(PLAYOFF_1aFASE!T$48=T42,Pesos!$M$6,IF(U42=PLAYOFF_1aFASE!U$48,Pesos!$M$3,0)),IF(U42=PLAYOFF_1aFASE!U$48,Pesos!$M$3,0))*IF(COUNTIF(U$27:U$47,U42)=1,2,1)</f>
        <v>0.5</v>
      </c>
      <c r="W42" s="46">
        <f>VLOOKUP($B42,Form_Playoff1aFase!$C$1:$AQ$44,24,FALSE)</f>
        <v>3</v>
      </c>
      <c r="X42" s="9" t="s">
        <v>98</v>
      </c>
      <c r="Y42" s="46">
        <f>VLOOKUP($B42,Form_Playoff1aFase!$C$1:$AQ$44,25,FALSE)</f>
        <v>0</v>
      </c>
      <c r="Z42" s="47" t="str">
        <f t="shared" si="14"/>
        <v>casa</v>
      </c>
      <c r="AA42" s="48">
        <f>IF(W42=PLAYOFF_1aFASE!W$48,IF(PLAYOFF_1aFASE!Y$48=Y42,Pesos!$M$6,IF(Z42=PLAYOFF_1aFASE!Z$48,Pesos!$M$3,0)),IF(Z42=PLAYOFF_1aFASE!Z$48,Pesos!$M$3,0))*IF(COUNTIF(Z$27:Z$47,Z42)=1,2,1)</f>
        <v>0.5</v>
      </c>
      <c r="AB42" s="46">
        <f>VLOOKUP($B42,Form_Playoff1aFase!$C$1:$AQ$44,29,FALSE)</f>
        <v>1</v>
      </c>
      <c r="AC42" s="9" t="s">
        <v>98</v>
      </c>
      <c r="AD42" s="46">
        <f>VLOOKUP($B42,Form_Playoff1aFase!$C$1:$AQ$44,30,FALSE)</f>
        <v>1</v>
      </c>
      <c r="AE42" s="47" t="str">
        <f t="shared" si="15"/>
        <v>empate</v>
      </c>
      <c r="AF42" s="48">
        <f>IF(AB42=PLAYOFF_1aFASE!AB$48,IF(PLAYOFF_1aFASE!AD$48=AD42,Pesos!$M$6,IF(AE42=PLAYOFF_1aFASE!AE$48,Pesos!$M$3,0)),IF(AE42=PLAYOFF_1aFASE!AE$48,Pesos!$M$3,0))*IF(COUNTIF(AE$27:AE$47,AE42)=1,2,1)</f>
        <v>0</v>
      </c>
      <c r="AG42" s="46">
        <f>VLOOKUP($B42,Form_Playoff1aFase!$C$1:$AQ$44,34,FALSE)</f>
        <v>3</v>
      </c>
      <c r="AH42" s="9" t="s">
        <v>98</v>
      </c>
      <c r="AI42" s="46">
        <f>VLOOKUP($B42,Form_Playoff1aFase!$C$1:$AQ$44,35,FALSE)</f>
        <v>1</v>
      </c>
      <c r="AJ42" s="47" t="str">
        <f t="shared" si="16"/>
        <v>casa</v>
      </c>
      <c r="AK42" s="48">
        <f>IF(AG42=PLAYOFF_1aFASE!AG$48,IF(PLAYOFF_1aFASE!AI$48=AI42,Pesos!$M$6,IF(AJ42=PLAYOFF_1aFASE!AJ$48,Pesos!$M$3,0)),IF(AJ42=PLAYOFF_1aFASE!AJ$48,Pesos!$M$3,0))*IF(COUNTIF(AJ$27:AJ$47,AJ42)=1,2,1)</f>
        <v>0</v>
      </c>
      <c r="AL42" s="46">
        <f>VLOOKUP($B42,Form_Playoff1aFase!$C$1:$AQ$44,39,FALSE)</f>
        <v>2</v>
      </c>
      <c r="AM42" s="9" t="s">
        <v>98</v>
      </c>
      <c r="AN42" s="46">
        <f>VLOOKUP($B42,Form_Playoff1aFase!$C$1:$AQ$44,40,FALSE)</f>
        <v>0</v>
      </c>
      <c r="AO42" s="47" t="str">
        <f t="shared" si="17"/>
        <v>casa</v>
      </c>
      <c r="AP42" s="48">
        <f>IF(AL42=PLAYOFF_1aFASE!AL$48,IF(PLAYOFF_1aFASE!AN$48=AN42,Pesos!$M$6,IF(AO42=PLAYOFF_1aFASE!AO$48,Pesos!$M$3,0)),IF(AO42=PLAYOFF_1aFASE!AO$48,Pesos!$M$3,0))*IF(COUNTIF(AO$27:AO$47,AO42)=1,2,1)</f>
        <v>0</v>
      </c>
      <c r="AQ42" s="41"/>
      <c r="AR42" s="41">
        <f t="shared" si="18"/>
        <v>3</v>
      </c>
    </row>
    <row r="43" ht="14.25" customHeight="1">
      <c r="A43" s="41"/>
      <c r="B43" s="51" t="s">
        <v>7</v>
      </c>
      <c r="C43" s="46">
        <f>VLOOKUP($B43,Form_Playoff1aFase!$C$1:$AQ$44,4,FALSE)</f>
        <v>4</v>
      </c>
      <c r="D43" s="48" t="s">
        <v>98</v>
      </c>
      <c r="E43" s="46">
        <f>VLOOKUP($B43,Form_Playoff1aFase!$C$1:$AQ$44,5,FALSE)</f>
        <v>1</v>
      </c>
      <c r="F43" s="47" t="str">
        <f t="shared" si="10"/>
        <v>casa</v>
      </c>
      <c r="G43" s="48">
        <f>IF(C43=PLAYOFF_1aFASE!C$48,IF(PLAYOFF_1aFASE!E$48=E43,Pesos!$M$6,IF(F43=PLAYOFF_1aFASE!F$48,Pesos!$M$3,0)),IF(F43=PLAYOFF_1aFASE!F$48,Pesos!$M$3,0))*IF(COUNTIF(F$27:F$47,F43)=1,2,1)</f>
        <v>0</v>
      </c>
      <c r="H43" s="46">
        <f>VLOOKUP($B43,Form_Playoff1aFase!$C$1:$AQ$44,9,FALSE)</f>
        <v>2</v>
      </c>
      <c r="I43" s="48" t="s">
        <v>98</v>
      </c>
      <c r="J43" s="46">
        <f>VLOOKUP($B43,Form_Playoff1aFase!$C$1:$AQ$44,10,FALSE)</f>
        <v>1</v>
      </c>
      <c r="K43" s="47" t="str">
        <f t="shared" si="11"/>
        <v>casa</v>
      </c>
      <c r="L43" s="48">
        <f>IF(H43=PLAYOFF_1aFASE!H$48,IF(PLAYOFF_1aFASE!J$48=J43,Pesos!$M$6,IF(K43=PLAYOFF_1aFASE!K$48,Pesos!$M$3,0)),IF(K43=PLAYOFF_1aFASE!K$48,Pesos!$M$3,0))*IF(COUNTIF(K$27:K$47,K43)=1,2,1)</f>
        <v>0.5</v>
      </c>
      <c r="M43" s="46">
        <f>VLOOKUP($B43,Form_Playoff1aFase!$C$1:$AQ$44,14,FALSE)</f>
        <v>4</v>
      </c>
      <c r="N43" s="9" t="s">
        <v>98</v>
      </c>
      <c r="O43" s="46">
        <f>VLOOKUP($B43,Form_Playoff1aFase!$C$1:$AQ$44,15,FALSE)</f>
        <v>2</v>
      </c>
      <c r="P43" s="47" t="str">
        <f t="shared" si="12"/>
        <v>casa</v>
      </c>
      <c r="Q43" s="48">
        <f>IF(M43=PLAYOFF_1aFASE!M$48,IF(PLAYOFF_1aFASE!O$48=O43,Pesos!$M$6,IF(P43=PLAYOFF_1aFASE!P$48,Pesos!$M$3,0)),IF(P43=PLAYOFF_1aFASE!P$48,Pesos!$M$3,0))*IF(COUNTIF(P$27:P$47,P43)=1,2,1)</f>
        <v>0.5</v>
      </c>
      <c r="R43" s="46">
        <f>VLOOKUP($B43,Form_Playoff1aFase!$C$1:$AQ$44,19,FALSE)</f>
        <v>1</v>
      </c>
      <c r="S43" s="48" t="s">
        <v>98</v>
      </c>
      <c r="T43" s="46">
        <f>VLOOKUP($B43,Form_Playoff1aFase!$C$1:$AQ$44,20,FALSE)</f>
        <v>1</v>
      </c>
      <c r="U43" s="47" t="str">
        <f t="shared" si="13"/>
        <v>empate</v>
      </c>
      <c r="V43" s="48">
        <f>IF(R43=PLAYOFF_1aFASE!R$48,IF(PLAYOFF_1aFASE!T$48=T43,Pesos!$M$6,IF(U43=PLAYOFF_1aFASE!U$48,Pesos!$M$3,0)),IF(U43=PLAYOFF_1aFASE!U$48,Pesos!$M$3,0))*IF(COUNTIF(U$27:U$47,U43)=1,2,1)</f>
        <v>0</v>
      </c>
      <c r="W43" s="46">
        <f>VLOOKUP($B43,Form_Playoff1aFase!$C$1:$AQ$44,24,FALSE)</f>
        <v>5</v>
      </c>
      <c r="X43" s="48" t="s">
        <v>98</v>
      </c>
      <c r="Y43" s="46">
        <f>VLOOKUP($B43,Form_Playoff1aFase!$C$1:$AQ$44,25,FALSE)</f>
        <v>1</v>
      </c>
      <c r="Z43" s="47" t="str">
        <f t="shared" si="14"/>
        <v>casa</v>
      </c>
      <c r="AA43" s="48">
        <f>IF(W43=PLAYOFF_1aFASE!W$48,IF(PLAYOFF_1aFASE!Y$48=Y43,Pesos!$M$6,IF(Z43=PLAYOFF_1aFASE!Z$48,Pesos!$M$3,0)),IF(Z43=PLAYOFF_1aFASE!Z$48,Pesos!$M$3,0))*IF(COUNTIF(Z$27:Z$47,Z43)=1,2,1)</f>
        <v>0.5</v>
      </c>
      <c r="AB43" s="46">
        <f>VLOOKUP($B43,Form_Playoff1aFase!$C$1:$AQ$44,29,FALSE)</f>
        <v>2</v>
      </c>
      <c r="AC43" s="48" t="s">
        <v>98</v>
      </c>
      <c r="AD43" s="46">
        <f>VLOOKUP($B43,Form_Playoff1aFase!$C$1:$AQ$44,30,FALSE)</f>
        <v>1</v>
      </c>
      <c r="AE43" s="47" t="str">
        <f t="shared" si="15"/>
        <v>casa</v>
      </c>
      <c r="AF43" s="48">
        <f>IF(AB43=PLAYOFF_1aFASE!AB$48,IF(PLAYOFF_1aFASE!AD$48=AD43,Pesos!$M$6,IF(AE43=PLAYOFF_1aFASE!AE$48,Pesos!$M$3,0)),IF(AE43=PLAYOFF_1aFASE!AE$48,Pesos!$M$3,0))*IF(COUNTIF(AE$27:AE$47,AE43)=1,2,1)</f>
        <v>0.5</v>
      </c>
      <c r="AG43" s="46">
        <f>VLOOKUP($B43,Form_Playoff1aFase!$C$1:$AQ$44,34,FALSE)</f>
        <v>4</v>
      </c>
      <c r="AH43" s="48" t="s">
        <v>98</v>
      </c>
      <c r="AI43" s="46">
        <f>VLOOKUP($B43,Form_Playoff1aFase!$C$1:$AQ$44,35,FALSE)</f>
        <v>1</v>
      </c>
      <c r="AJ43" s="47" t="str">
        <f t="shared" si="16"/>
        <v>casa</v>
      </c>
      <c r="AK43" s="48">
        <f>IF(AG43=PLAYOFF_1aFASE!AG$48,IF(PLAYOFF_1aFASE!AI$48=AI43,Pesos!$M$6,IF(AJ43=PLAYOFF_1aFASE!AJ$48,Pesos!$M$3,0)),IF(AJ43=PLAYOFF_1aFASE!AJ$48,Pesos!$M$3,0))*IF(COUNTIF(AJ$27:AJ$47,AJ43)=1,2,1)</f>
        <v>0</v>
      </c>
      <c r="AL43" s="46">
        <f>VLOOKUP($B43,Form_Playoff1aFase!$C$1:$AQ$44,39,FALSE)</f>
        <v>3</v>
      </c>
      <c r="AM43" s="48" t="s">
        <v>98</v>
      </c>
      <c r="AN43" s="46">
        <f>VLOOKUP($B43,Form_Playoff1aFase!$C$1:$AQ$44,40,FALSE)</f>
        <v>1</v>
      </c>
      <c r="AO43" s="47" t="str">
        <f t="shared" si="17"/>
        <v>casa</v>
      </c>
      <c r="AP43" s="48">
        <f>IF(AL43=PLAYOFF_1aFASE!AL$48,IF(PLAYOFF_1aFASE!AN$48=AN43,Pesos!$M$6,IF(AO43=PLAYOFF_1aFASE!AO$48,Pesos!$M$3,0)),IF(AO43=PLAYOFF_1aFASE!AO$48,Pesos!$M$3,0))*IF(COUNTIF(AO$27:AO$47,AO43)=1,2,1)</f>
        <v>0</v>
      </c>
      <c r="AQ43" s="41"/>
      <c r="AR43" s="41">
        <f t="shared" si="18"/>
        <v>4</v>
      </c>
    </row>
    <row r="44" ht="14.25" customHeight="1">
      <c r="A44" s="41"/>
      <c r="B44" s="52" t="s">
        <v>19</v>
      </c>
      <c r="C44" s="46">
        <f>VLOOKUP($B44,Form_Playoff1aFase!$C$1:$AQ$44,4,FALSE)</f>
        <v>3</v>
      </c>
      <c r="D44" s="57" t="s">
        <v>98</v>
      </c>
      <c r="E44" s="46">
        <f>VLOOKUP($B44,Form_Playoff1aFase!$C$1:$AQ$44,5,FALSE)</f>
        <v>1</v>
      </c>
      <c r="F44" s="47" t="str">
        <f t="shared" si="10"/>
        <v>casa</v>
      </c>
      <c r="G44" s="48">
        <f>IF(C44=PLAYOFF_1aFASE!C$48,IF(PLAYOFF_1aFASE!E$48=E44,Pesos!$M$6,IF(F44=PLAYOFF_1aFASE!F$48,Pesos!$M$3,0)),IF(F44=PLAYOFF_1aFASE!F$48,Pesos!$M$3,0))*IF(COUNTIF(F$27:F$47,F44)=1,2,1)</f>
        <v>0</v>
      </c>
      <c r="H44" s="46">
        <f>VLOOKUP($B44,Form_Playoff1aFase!$C$1:$AQ$44,9,FALSE)</f>
        <v>3</v>
      </c>
      <c r="I44" s="57" t="s">
        <v>98</v>
      </c>
      <c r="J44" s="46">
        <f>VLOOKUP($B44,Form_Playoff1aFase!$C$1:$AQ$44,10,FALSE)</f>
        <v>0</v>
      </c>
      <c r="K44" s="47" t="str">
        <f t="shared" si="11"/>
        <v>casa</v>
      </c>
      <c r="L44" s="48">
        <f>IF(H44=PLAYOFF_1aFASE!H$48,IF(PLAYOFF_1aFASE!J$48=J44,Pesos!$M$6,IF(K44=PLAYOFF_1aFASE!K$48,Pesos!$M$3,0)),IF(K44=PLAYOFF_1aFASE!K$48,Pesos!$M$3,0))*IF(COUNTIF(K$27:K$47,K44)=1,2,1)</f>
        <v>3</v>
      </c>
      <c r="M44" s="46">
        <f>VLOOKUP($B44,Form_Playoff1aFase!$C$1:$AQ$44,14,FALSE)</f>
        <v>2</v>
      </c>
      <c r="N44" s="46" t="s">
        <v>98</v>
      </c>
      <c r="O44" s="46">
        <f>VLOOKUP($B44,Form_Playoff1aFase!$C$1:$AQ$44,15,FALSE)</f>
        <v>0</v>
      </c>
      <c r="P44" s="47" t="str">
        <f t="shared" si="12"/>
        <v>casa</v>
      </c>
      <c r="Q44" s="48">
        <f>IF(M44=PLAYOFF_1aFASE!M$48,IF(PLAYOFF_1aFASE!O$48=O44,Pesos!$M$6,IF(P44=PLAYOFF_1aFASE!P$48,Pesos!$M$3,0)),IF(P44=PLAYOFF_1aFASE!P$48,Pesos!$M$3,0))*IF(COUNTIF(P$27:P$47,P44)=1,2,1)</f>
        <v>0.5</v>
      </c>
      <c r="R44" s="46">
        <f>VLOOKUP($B44,Form_Playoff1aFase!$C$1:$AQ$44,19,FALSE)</f>
        <v>1</v>
      </c>
      <c r="S44" s="57" t="s">
        <v>98</v>
      </c>
      <c r="T44" s="46">
        <f>VLOOKUP($B44,Form_Playoff1aFase!$C$1:$AQ$44,20,FALSE)</f>
        <v>1</v>
      </c>
      <c r="U44" s="47" t="str">
        <f t="shared" si="13"/>
        <v>empate</v>
      </c>
      <c r="V44" s="48">
        <f>IF(R44=PLAYOFF_1aFASE!R$48,IF(PLAYOFF_1aFASE!T$48=T44,Pesos!$M$6,IF(U44=PLAYOFF_1aFASE!U$48,Pesos!$M$3,0)),IF(U44=PLAYOFF_1aFASE!U$48,Pesos!$M$3,0))*IF(COUNTIF(U$27:U$47,U44)=1,2,1)</f>
        <v>0</v>
      </c>
      <c r="W44" s="46">
        <f>VLOOKUP($B44,Form_Playoff1aFase!$C$1:$AQ$44,24,FALSE)</f>
        <v>3</v>
      </c>
      <c r="X44" s="57" t="s">
        <v>98</v>
      </c>
      <c r="Y44" s="46">
        <f>VLOOKUP($B44,Form_Playoff1aFase!$C$1:$AQ$44,25,FALSE)</f>
        <v>1</v>
      </c>
      <c r="Z44" s="47" t="str">
        <f t="shared" si="14"/>
        <v>casa</v>
      </c>
      <c r="AA44" s="48">
        <f>IF(W44=PLAYOFF_1aFASE!W$48,IF(PLAYOFF_1aFASE!Y$48=Y44,Pesos!$M$6,IF(Z44=PLAYOFF_1aFASE!Z$48,Pesos!$M$3,0)),IF(Z44=PLAYOFF_1aFASE!Z$48,Pesos!$M$3,0))*IF(COUNTIF(Z$27:Z$47,Z44)=1,2,1)</f>
        <v>0.5</v>
      </c>
      <c r="AB44" s="46">
        <f>VLOOKUP($B44,Form_Playoff1aFase!$C$1:$AQ$44,29,FALSE)</f>
        <v>2</v>
      </c>
      <c r="AC44" s="57" t="s">
        <v>98</v>
      </c>
      <c r="AD44" s="46">
        <f>VLOOKUP($B44,Form_Playoff1aFase!$C$1:$AQ$44,30,FALSE)</f>
        <v>1</v>
      </c>
      <c r="AE44" s="47" t="str">
        <f t="shared" si="15"/>
        <v>casa</v>
      </c>
      <c r="AF44" s="48">
        <f>IF(AB44=PLAYOFF_1aFASE!AB$48,IF(PLAYOFF_1aFASE!AD$48=AD44,Pesos!$M$6,IF(AE44=PLAYOFF_1aFASE!AE$48,Pesos!$M$3,0)),IF(AE44=PLAYOFF_1aFASE!AE$48,Pesos!$M$3,0))*IF(COUNTIF(AE$27:AE$47,AE44)=1,2,1)</f>
        <v>0.5</v>
      </c>
      <c r="AG44" s="46">
        <f>VLOOKUP($B44,Form_Playoff1aFase!$C$1:$AQ$44,34,FALSE)</f>
        <v>2</v>
      </c>
      <c r="AH44" s="57" t="s">
        <v>98</v>
      </c>
      <c r="AI44" s="46">
        <f>VLOOKUP($B44,Form_Playoff1aFase!$C$1:$AQ$44,35,FALSE)</f>
        <v>1</v>
      </c>
      <c r="AJ44" s="47" t="str">
        <f t="shared" si="16"/>
        <v>casa</v>
      </c>
      <c r="AK44" s="48">
        <f>IF(AG44=PLAYOFF_1aFASE!AG$48,IF(PLAYOFF_1aFASE!AI$48=AI44,Pesos!$M$6,IF(AJ44=PLAYOFF_1aFASE!AJ$48,Pesos!$M$3,0)),IF(AJ44=PLAYOFF_1aFASE!AJ$48,Pesos!$M$3,0))*IF(COUNTIF(AJ$27:AJ$47,AJ44)=1,2,1)</f>
        <v>0</v>
      </c>
      <c r="AL44" s="46">
        <f>VLOOKUP($B44,Form_Playoff1aFase!$C$1:$AQ$44,39,FALSE)</f>
        <v>3</v>
      </c>
      <c r="AM44" s="57" t="s">
        <v>98</v>
      </c>
      <c r="AN44" s="46">
        <f>VLOOKUP($B44,Form_Playoff1aFase!$C$1:$AQ$44,40,FALSE)</f>
        <v>1</v>
      </c>
      <c r="AO44" s="47" t="str">
        <f t="shared" si="17"/>
        <v>casa</v>
      </c>
      <c r="AP44" s="48">
        <f>IF(AL44=PLAYOFF_1aFASE!AL$48,IF(PLAYOFF_1aFASE!AN$48=AN44,Pesos!$M$6,IF(AO44=PLAYOFF_1aFASE!AO$48,Pesos!$M$3,0)),IF(AO44=PLAYOFF_1aFASE!AO$48,Pesos!$M$3,0))*IF(COUNTIF(AO$27:AO$47,AO44)=1,2,1)</f>
        <v>0</v>
      </c>
      <c r="AQ44" s="41"/>
      <c r="AR44" s="41">
        <f t="shared" si="18"/>
        <v>4</v>
      </c>
    </row>
    <row r="45" ht="14.25" customHeight="1">
      <c r="A45" s="41"/>
      <c r="B45" s="52" t="s">
        <v>20</v>
      </c>
      <c r="C45" s="46">
        <f>VLOOKUP($B45,Form_Playoff1aFase!$C$1:$AQ$44,4,FALSE)</f>
        <v>2</v>
      </c>
      <c r="D45" s="57" t="s">
        <v>98</v>
      </c>
      <c r="E45" s="46">
        <f>VLOOKUP($B45,Form_Playoff1aFase!$C$1:$AQ$44,5,FALSE)</f>
        <v>2</v>
      </c>
      <c r="F45" s="47" t="str">
        <f t="shared" si="10"/>
        <v>empate</v>
      </c>
      <c r="G45" s="48">
        <f>IF(C45=PLAYOFF_1aFASE!C$48,IF(PLAYOFF_1aFASE!E$48=E45,Pesos!$M$6,IF(F45=PLAYOFF_1aFASE!F$48,Pesos!$M$3,0)),IF(F45=PLAYOFF_1aFASE!F$48,Pesos!$M$3,0))*IF(COUNTIF(F$27:F$47,F45)=1,2,1)</f>
        <v>6</v>
      </c>
      <c r="H45" s="46">
        <f>VLOOKUP($B45,Form_Playoff1aFase!$C$1:$AQ$44,9,FALSE)</f>
        <v>1</v>
      </c>
      <c r="I45" s="57" t="s">
        <v>98</v>
      </c>
      <c r="J45" s="46">
        <f>VLOOKUP($B45,Form_Playoff1aFase!$C$1:$AQ$44,10,FALSE)</f>
        <v>1</v>
      </c>
      <c r="K45" s="47" t="str">
        <f t="shared" si="11"/>
        <v>empate</v>
      </c>
      <c r="L45" s="48">
        <f>IF(H45=PLAYOFF_1aFASE!H$48,IF(PLAYOFF_1aFASE!J$48=J45,Pesos!$M$6,IF(K45=PLAYOFF_1aFASE!K$48,Pesos!$M$3,0)),IF(K45=PLAYOFF_1aFASE!K$48,Pesos!$M$3,0))*IF(COUNTIF(K$27:K$47,K45)=1,2,1)</f>
        <v>0</v>
      </c>
      <c r="M45" s="46">
        <f>VLOOKUP($B45,Form_Playoff1aFase!$C$1:$AQ$44,14,FALSE)</f>
        <v>3</v>
      </c>
      <c r="N45" s="46" t="s">
        <v>98</v>
      </c>
      <c r="O45" s="46">
        <f>VLOOKUP($B45,Form_Playoff1aFase!$C$1:$AQ$44,15,FALSE)</f>
        <v>2</v>
      </c>
      <c r="P45" s="47" t="str">
        <f t="shared" si="12"/>
        <v>casa</v>
      </c>
      <c r="Q45" s="48">
        <f>IF(M45=PLAYOFF_1aFASE!M$48,IF(PLAYOFF_1aFASE!O$48=O45,Pesos!$M$6,IF(P45=PLAYOFF_1aFASE!P$48,Pesos!$M$3,0)),IF(P45=PLAYOFF_1aFASE!P$48,Pesos!$M$3,0))*IF(COUNTIF(P$27:P$47,P45)=1,2,1)</f>
        <v>0.5</v>
      </c>
      <c r="R45" s="46">
        <f>VLOOKUP($B45,Form_Playoff1aFase!$C$1:$AQ$44,19,FALSE)</f>
        <v>1</v>
      </c>
      <c r="S45" s="57" t="s">
        <v>98</v>
      </c>
      <c r="T45" s="46">
        <f>VLOOKUP($B45,Form_Playoff1aFase!$C$1:$AQ$44,20,FALSE)</f>
        <v>1</v>
      </c>
      <c r="U45" s="47" t="str">
        <f t="shared" si="13"/>
        <v>empate</v>
      </c>
      <c r="V45" s="48">
        <f>IF(R45=PLAYOFF_1aFASE!R$48,IF(PLAYOFF_1aFASE!T$48=T45,Pesos!$M$6,IF(U45=PLAYOFF_1aFASE!U$48,Pesos!$M$3,0)),IF(U45=PLAYOFF_1aFASE!U$48,Pesos!$M$3,0))*IF(COUNTIF(U$27:U$47,U45)=1,2,1)</f>
        <v>0</v>
      </c>
      <c r="W45" s="46">
        <f>VLOOKUP($B45,Form_Playoff1aFase!$C$1:$AQ$44,24,FALSE)</f>
        <v>2</v>
      </c>
      <c r="X45" s="57" t="s">
        <v>98</v>
      </c>
      <c r="Y45" s="46">
        <f>VLOOKUP($B45,Form_Playoff1aFase!$C$1:$AQ$44,25,FALSE)</f>
        <v>0</v>
      </c>
      <c r="Z45" s="47" t="str">
        <f t="shared" si="14"/>
        <v>casa</v>
      </c>
      <c r="AA45" s="48">
        <f>IF(W45=PLAYOFF_1aFASE!W$48,IF(PLAYOFF_1aFASE!Y$48=Y45,Pesos!$M$6,IF(Z45=PLAYOFF_1aFASE!Z$48,Pesos!$M$3,0)),IF(Z45=PLAYOFF_1aFASE!Z$48,Pesos!$M$3,0))*IF(COUNTIF(Z$27:Z$47,Z45)=1,2,1)</f>
        <v>0.5</v>
      </c>
      <c r="AB45" s="46">
        <f>VLOOKUP($B45,Form_Playoff1aFase!$C$1:$AQ$44,29,FALSE)</f>
        <v>3</v>
      </c>
      <c r="AC45" s="57" t="s">
        <v>98</v>
      </c>
      <c r="AD45" s="46">
        <f>VLOOKUP($B45,Form_Playoff1aFase!$C$1:$AQ$44,30,FALSE)</f>
        <v>1</v>
      </c>
      <c r="AE45" s="47" t="str">
        <f t="shared" si="15"/>
        <v>casa</v>
      </c>
      <c r="AF45" s="48">
        <f>IF(AB45=PLAYOFF_1aFASE!AB$48,IF(PLAYOFF_1aFASE!AD$48=AD45,Pesos!$M$6,IF(AE45=PLAYOFF_1aFASE!AE$48,Pesos!$M$3,0)),IF(AE45=PLAYOFF_1aFASE!AE$48,Pesos!$M$3,0))*IF(COUNTIF(AE$27:AE$47,AE45)=1,2,1)</f>
        <v>0.5</v>
      </c>
      <c r="AG45" s="46">
        <f>VLOOKUP($B45,Form_Playoff1aFase!$C$1:$AQ$44,34,FALSE)</f>
        <v>4</v>
      </c>
      <c r="AH45" s="57" t="s">
        <v>98</v>
      </c>
      <c r="AI45" s="46">
        <f>VLOOKUP($B45,Form_Playoff1aFase!$C$1:$AQ$44,35,FALSE)</f>
        <v>1</v>
      </c>
      <c r="AJ45" s="47" t="str">
        <f t="shared" si="16"/>
        <v>casa</v>
      </c>
      <c r="AK45" s="48">
        <f>IF(AG45=PLAYOFF_1aFASE!AG$48,IF(PLAYOFF_1aFASE!AI$48=AI45,Pesos!$M$6,IF(AJ45=PLAYOFF_1aFASE!AJ$48,Pesos!$M$3,0)),IF(AJ45=PLAYOFF_1aFASE!AJ$48,Pesos!$M$3,0))*IF(COUNTIF(AJ$27:AJ$47,AJ45)=1,2,1)</f>
        <v>0</v>
      </c>
      <c r="AL45" s="46">
        <f>VLOOKUP($B45,Form_Playoff1aFase!$C$1:$AQ$44,39,FALSE)</f>
        <v>2</v>
      </c>
      <c r="AM45" s="57" t="s">
        <v>98</v>
      </c>
      <c r="AN45" s="46">
        <f>VLOOKUP($B45,Form_Playoff1aFase!$C$1:$AQ$44,40,FALSE)</f>
        <v>1</v>
      </c>
      <c r="AO45" s="47" t="str">
        <f t="shared" si="17"/>
        <v>casa</v>
      </c>
      <c r="AP45" s="48">
        <f>IF(AL45=PLAYOFF_1aFASE!AL$48,IF(PLAYOFF_1aFASE!AN$48=AN45,Pesos!$M$6,IF(AO45=PLAYOFF_1aFASE!AO$48,Pesos!$M$3,0)),IF(AO45=PLAYOFF_1aFASE!AO$48,Pesos!$M$3,0))*IF(COUNTIF(AO$27:AO$47,AO45)=1,2,1)</f>
        <v>0</v>
      </c>
      <c r="AQ45" s="41"/>
      <c r="AR45" s="41">
        <f t="shared" si="18"/>
        <v>4</v>
      </c>
    </row>
    <row r="46" ht="14.25" customHeight="1">
      <c r="A46" s="41"/>
      <c r="B46" s="52" t="s">
        <v>21</v>
      </c>
      <c r="C46" s="46">
        <f>VLOOKUP($B46,Form_Playoff1aFase!$C$1:$AQ$44,4,FALSE)</f>
        <v>3</v>
      </c>
      <c r="D46" s="57" t="s">
        <v>98</v>
      </c>
      <c r="E46" s="46">
        <f>VLOOKUP($B46,Form_Playoff1aFase!$C$1:$AQ$44,5,FALSE)</f>
        <v>0</v>
      </c>
      <c r="F46" s="47" t="str">
        <f t="shared" si="10"/>
        <v>casa</v>
      </c>
      <c r="G46" s="48">
        <f>IF(C46=PLAYOFF_1aFASE!C$48,IF(PLAYOFF_1aFASE!E$48=E46,Pesos!$M$6,IF(F46=PLAYOFF_1aFASE!F$48,Pesos!$M$3,0)),IF(F46=PLAYOFF_1aFASE!F$48,Pesos!$M$3,0))*IF(COUNTIF(F$27:F$47,F46)=1,2,1)</f>
        <v>0</v>
      </c>
      <c r="H46" s="46">
        <f>VLOOKUP($B46,Form_Playoff1aFase!$C$1:$AQ$44,9,FALSE)</f>
        <v>2</v>
      </c>
      <c r="I46" s="57" t="s">
        <v>98</v>
      </c>
      <c r="J46" s="46">
        <f>VLOOKUP($B46,Form_Playoff1aFase!$C$1:$AQ$44,10,FALSE)</f>
        <v>1</v>
      </c>
      <c r="K46" s="47" t="str">
        <f t="shared" si="11"/>
        <v>casa</v>
      </c>
      <c r="L46" s="48">
        <f>IF(H46=PLAYOFF_1aFASE!H$48,IF(PLAYOFF_1aFASE!J$48=J46,Pesos!$M$6,IF(K46=PLAYOFF_1aFASE!K$48,Pesos!$M$3,0)),IF(K46=PLAYOFF_1aFASE!K$48,Pesos!$M$3,0))*IF(COUNTIF(K$27:K$47,K46)=1,2,1)</f>
        <v>0.5</v>
      </c>
      <c r="M46" s="46">
        <f>VLOOKUP($B46,Form_Playoff1aFase!$C$1:$AQ$44,14,FALSE)</f>
        <v>2</v>
      </c>
      <c r="N46" s="46" t="s">
        <v>98</v>
      </c>
      <c r="O46" s="46">
        <f>VLOOKUP($B46,Form_Playoff1aFase!$C$1:$AQ$44,15,FALSE)</f>
        <v>1</v>
      </c>
      <c r="P46" s="47" t="str">
        <f t="shared" si="12"/>
        <v>casa</v>
      </c>
      <c r="Q46" s="48">
        <f>IF(M46=PLAYOFF_1aFASE!M$48,IF(PLAYOFF_1aFASE!O$48=O46,Pesos!$M$6,IF(P46=PLAYOFF_1aFASE!P$48,Pesos!$M$3,0)),IF(P46=PLAYOFF_1aFASE!P$48,Pesos!$M$3,0))*IF(COUNTIF(P$27:P$47,P46)=1,2,1)</f>
        <v>3</v>
      </c>
      <c r="R46" s="46">
        <f>VLOOKUP($B46,Form_Playoff1aFase!$C$1:$AQ$44,19,FALSE)</f>
        <v>1</v>
      </c>
      <c r="S46" s="57" t="s">
        <v>98</v>
      </c>
      <c r="T46" s="46">
        <f>VLOOKUP($B46,Form_Playoff1aFase!$C$1:$AQ$44,20,FALSE)</f>
        <v>4</v>
      </c>
      <c r="U46" s="47" t="str">
        <f t="shared" si="13"/>
        <v>visita</v>
      </c>
      <c r="V46" s="48">
        <f>IF(R46=PLAYOFF_1aFASE!R$48,IF(PLAYOFF_1aFASE!T$48=T46,Pesos!$M$6,IF(U46=PLAYOFF_1aFASE!U$48,Pesos!$M$3,0)),IF(U46=PLAYOFF_1aFASE!U$48,Pesos!$M$3,0))*IF(COUNTIF(U$27:U$47,U46)=1,2,1)</f>
        <v>0</v>
      </c>
      <c r="W46" s="46">
        <f>VLOOKUP($B46,Form_Playoff1aFase!$C$1:$AQ$44,24,FALSE)</f>
        <v>1</v>
      </c>
      <c r="X46" s="57" t="s">
        <v>98</v>
      </c>
      <c r="Y46" s="46">
        <f>VLOOKUP($B46,Form_Playoff1aFase!$C$1:$AQ$44,25,FALSE)</f>
        <v>0</v>
      </c>
      <c r="Z46" s="47" t="str">
        <f t="shared" si="14"/>
        <v>casa</v>
      </c>
      <c r="AA46" s="48">
        <f>IF(W46=PLAYOFF_1aFASE!W$48,IF(PLAYOFF_1aFASE!Y$48=Y46,Pesos!$M$6,IF(Z46=PLAYOFF_1aFASE!Z$48,Pesos!$M$3,0)),IF(Z46=PLAYOFF_1aFASE!Z$48,Pesos!$M$3,0))*IF(COUNTIF(Z$27:Z$47,Z46)=1,2,1)</f>
        <v>0.5</v>
      </c>
      <c r="AB46" s="46">
        <f>VLOOKUP($B46,Form_Playoff1aFase!$C$1:$AQ$44,29,FALSE)</f>
        <v>3</v>
      </c>
      <c r="AC46" s="57" t="s">
        <v>98</v>
      </c>
      <c r="AD46" s="46">
        <f>VLOOKUP($B46,Form_Playoff1aFase!$C$1:$AQ$44,30,FALSE)</f>
        <v>1</v>
      </c>
      <c r="AE46" s="47" t="str">
        <f t="shared" si="15"/>
        <v>casa</v>
      </c>
      <c r="AF46" s="48">
        <f>IF(AB46=PLAYOFF_1aFASE!AB$48,IF(PLAYOFF_1aFASE!AD$48=AD46,Pesos!$M$6,IF(AE46=PLAYOFF_1aFASE!AE$48,Pesos!$M$3,0)),IF(AE46=PLAYOFF_1aFASE!AE$48,Pesos!$M$3,0))*IF(COUNTIF(AE$27:AE$47,AE46)=1,2,1)</f>
        <v>0.5</v>
      </c>
      <c r="AG46" s="46">
        <f>VLOOKUP($B46,Form_Playoff1aFase!$C$1:$AQ$44,34,FALSE)</f>
        <v>2</v>
      </c>
      <c r="AH46" s="57" t="s">
        <v>98</v>
      </c>
      <c r="AI46" s="46">
        <f>VLOOKUP($B46,Form_Playoff1aFase!$C$1:$AQ$44,35,FALSE)</f>
        <v>0</v>
      </c>
      <c r="AJ46" s="47" t="str">
        <f t="shared" si="16"/>
        <v>casa</v>
      </c>
      <c r="AK46" s="48">
        <f>IF(AG46=PLAYOFF_1aFASE!AG$48,IF(PLAYOFF_1aFASE!AI$48=AI46,Pesos!$M$6,IF(AJ46=PLAYOFF_1aFASE!AJ$48,Pesos!$M$3,0)),IF(AJ46=PLAYOFF_1aFASE!AJ$48,Pesos!$M$3,0))*IF(COUNTIF(AJ$27:AJ$47,AJ46)=1,2,1)</f>
        <v>0</v>
      </c>
      <c r="AL46" s="46">
        <f>VLOOKUP($B46,Form_Playoff1aFase!$C$1:$AQ$44,39,FALSE)</f>
        <v>3</v>
      </c>
      <c r="AM46" s="57" t="s">
        <v>98</v>
      </c>
      <c r="AN46" s="46">
        <f>VLOOKUP($B46,Form_Playoff1aFase!$C$1:$AQ$44,40,FALSE)</f>
        <v>2</v>
      </c>
      <c r="AO46" s="47" t="str">
        <f t="shared" si="17"/>
        <v>casa</v>
      </c>
      <c r="AP46" s="48">
        <f>IF(AL46=PLAYOFF_1aFASE!AL$48,IF(PLAYOFF_1aFASE!AN$48=AN46,Pesos!$M$6,IF(AO46=PLAYOFF_1aFASE!AO$48,Pesos!$M$3,0)),IF(AO46=PLAYOFF_1aFASE!AO$48,Pesos!$M$3,0))*IF(COUNTIF(AO$27:AO$47,AO46)=1,2,1)</f>
        <v>0</v>
      </c>
      <c r="AQ46" s="41"/>
      <c r="AR46" s="41">
        <f t="shared" si="18"/>
        <v>4</v>
      </c>
    </row>
    <row r="47" ht="14.25" customHeight="1">
      <c r="A47" s="41"/>
      <c r="B47" s="52" t="s">
        <v>22</v>
      </c>
      <c r="C47" s="46">
        <f>VLOOKUP($B47,Form_Playoff1aFase!$C$1:$AQ$44,4,FALSE)</f>
        <v>3</v>
      </c>
      <c r="D47" s="57" t="s">
        <v>98</v>
      </c>
      <c r="E47" s="46">
        <f>VLOOKUP($B47,Form_Playoff1aFase!$C$1:$AQ$44,5,FALSE)</f>
        <v>1</v>
      </c>
      <c r="F47" s="47" t="str">
        <f t="shared" si="10"/>
        <v>casa</v>
      </c>
      <c r="G47" s="48">
        <f>IF(C47=PLAYOFF_1aFASE!C$48,IF(PLAYOFF_1aFASE!E$48=E47,Pesos!$M$6,IF(F47=PLAYOFF_1aFASE!F$48,Pesos!$M$3,0)),IF(F47=PLAYOFF_1aFASE!F$48,Pesos!$M$3,0))*IF(COUNTIF(F$27:F$47,F47)=1,2,1)</f>
        <v>0</v>
      </c>
      <c r="H47" s="46">
        <f>VLOOKUP($B47,Form_Playoff1aFase!$C$1:$AQ$44,9,FALSE)</f>
        <v>2</v>
      </c>
      <c r="I47" s="57" t="s">
        <v>98</v>
      </c>
      <c r="J47" s="46">
        <f>VLOOKUP($B47,Form_Playoff1aFase!$C$1:$AQ$44,10,FALSE)</f>
        <v>1</v>
      </c>
      <c r="K47" s="47" t="str">
        <f t="shared" si="11"/>
        <v>casa</v>
      </c>
      <c r="L47" s="48">
        <f>IF(H47=PLAYOFF_1aFASE!H$48,IF(PLAYOFF_1aFASE!J$48=J47,Pesos!$M$6,IF(K47=PLAYOFF_1aFASE!K$48,Pesos!$M$3,0)),IF(K47=PLAYOFF_1aFASE!K$48,Pesos!$M$3,0))*IF(COUNTIF(K$27:K$47,K47)=1,2,1)</f>
        <v>0.5</v>
      </c>
      <c r="M47" s="46">
        <f>VLOOKUP($B47,Form_Playoff1aFase!$C$1:$AQ$44,14,FALSE)</f>
        <v>3</v>
      </c>
      <c r="N47" s="46" t="s">
        <v>98</v>
      </c>
      <c r="O47" s="46">
        <f>VLOOKUP($B47,Form_Playoff1aFase!$C$1:$AQ$44,15,FALSE)</f>
        <v>1</v>
      </c>
      <c r="P47" s="47" t="str">
        <f t="shared" si="12"/>
        <v>casa</v>
      </c>
      <c r="Q47" s="48">
        <f>IF(M47=PLAYOFF_1aFASE!M$48,IF(PLAYOFF_1aFASE!O$48=O47,Pesos!$M$6,IF(P47=PLAYOFF_1aFASE!P$48,Pesos!$M$3,0)),IF(P47=PLAYOFF_1aFASE!P$48,Pesos!$M$3,0))*IF(COUNTIF(P$27:P$47,P47)=1,2,1)</f>
        <v>0.5</v>
      </c>
      <c r="R47" s="46">
        <f>VLOOKUP($B47,Form_Playoff1aFase!$C$1:$AQ$44,19,FALSE)</f>
        <v>1</v>
      </c>
      <c r="S47" s="57" t="s">
        <v>98</v>
      </c>
      <c r="T47" s="46">
        <f>VLOOKUP($B47,Form_Playoff1aFase!$C$1:$AQ$44,20,FALSE)</f>
        <v>1</v>
      </c>
      <c r="U47" s="47" t="str">
        <f t="shared" si="13"/>
        <v>empate</v>
      </c>
      <c r="V47" s="48">
        <f>IF(R47=PLAYOFF_1aFASE!R$48,IF(PLAYOFF_1aFASE!T$48=T47,Pesos!$M$6,IF(U47=PLAYOFF_1aFASE!U$48,Pesos!$M$3,0)),IF(U47=PLAYOFF_1aFASE!U$48,Pesos!$M$3,0))*IF(COUNTIF(U$27:U$47,U47)=1,2,1)</f>
        <v>0</v>
      </c>
      <c r="W47" s="46">
        <f>VLOOKUP($B47,Form_Playoff1aFase!$C$1:$AQ$44,24,FALSE)</f>
        <v>2</v>
      </c>
      <c r="X47" s="57" t="s">
        <v>98</v>
      </c>
      <c r="Y47" s="46">
        <f>VLOOKUP($B47,Form_Playoff1aFase!$C$1:$AQ$44,25,FALSE)</f>
        <v>0</v>
      </c>
      <c r="Z47" s="47" t="str">
        <f t="shared" si="14"/>
        <v>casa</v>
      </c>
      <c r="AA47" s="48">
        <f>IF(W47=PLAYOFF_1aFASE!W$48,IF(PLAYOFF_1aFASE!Y$48=Y47,Pesos!$M$6,IF(Z47=PLAYOFF_1aFASE!Z$48,Pesos!$M$3,0)),IF(Z47=PLAYOFF_1aFASE!Z$48,Pesos!$M$3,0))*IF(COUNTIF(Z$27:Z$47,Z47)=1,2,1)</f>
        <v>0.5</v>
      </c>
      <c r="AB47" s="46">
        <f>VLOOKUP($B47,Form_Playoff1aFase!$C$1:$AQ$44,29,FALSE)</f>
        <v>2</v>
      </c>
      <c r="AC47" s="57" t="s">
        <v>98</v>
      </c>
      <c r="AD47" s="46">
        <f>VLOOKUP($B47,Form_Playoff1aFase!$C$1:$AQ$44,30,FALSE)</f>
        <v>0</v>
      </c>
      <c r="AE47" s="47" t="str">
        <f t="shared" si="15"/>
        <v>casa</v>
      </c>
      <c r="AF47" s="48">
        <f>IF(AB47=PLAYOFF_1aFASE!AB$48,IF(PLAYOFF_1aFASE!AD$48=AD47,Pesos!$M$6,IF(AE47=PLAYOFF_1aFASE!AE$48,Pesos!$M$3,0)),IF(AE47=PLAYOFF_1aFASE!AE$48,Pesos!$M$3,0))*IF(COUNTIF(AE$27:AE$47,AE47)=1,2,1)</f>
        <v>0.5</v>
      </c>
      <c r="AG47" s="46">
        <f>VLOOKUP($B47,Form_Playoff1aFase!$C$1:$AQ$44,34,FALSE)</f>
        <v>3</v>
      </c>
      <c r="AH47" s="57" t="s">
        <v>98</v>
      </c>
      <c r="AI47" s="46">
        <f>VLOOKUP($B47,Form_Playoff1aFase!$C$1:$AQ$44,35,FALSE)</f>
        <v>0</v>
      </c>
      <c r="AJ47" s="47" t="str">
        <f t="shared" si="16"/>
        <v>casa</v>
      </c>
      <c r="AK47" s="48">
        <f>IF(AG47=PLAYOFF_1aFASE!AG$48,IF(PLAYOFF_1aFASE!AI$48=AI47,Pesos!$M$6,IF(AJ47=PLAYOFF_1aFASE!AJ$48,Pesos!$M$3,0)),IF(AJ47=PLAYOFF_1aFASE!AJ$48,Pesos!$M$3,0))*IF(COUNTIF(AJ$27:AJ$47,AJ47)=1,2,1)</f>
        <v>0</v>
      </c>
      <c r="AL47" s="46">
        <f>VLOOKUP($B47,Form_Playoff1aFase!$C$1:$AQ$44,39,FALSE)</f>
        <v>2</v>
      </c>
      <c r="AM47" s="57" t="s">
        <v>98</v>
      </c>
      <c r="AN47" s="46">
        <f>VLOOKUP($B47,Form_Playoff1aFase!$C$1:$AQ$44,40,FALSE)</f>
        <v>1</v>
      </c>
      <c r="AO47" s="47" t="str">
        <f t="shared" si="17"/>
        <v>casa</v>
      </c>
      <c r="AP47" s="48">
        <f>IF(AL47=PLAYOFF_1aFASE!AL$48,IF(PLAYOFF_1aFASE!AN$48=AN47,Pesos!$M$6,IF(AO47=PLAYOFF_1aFASE!AO$48,Pesos!$M$3,0)),IF(AO47=PLAYOFF_1aFASE!AO$48,Pesos!$M$3,0))*IF(COUNTIF(AO$27:AO$47,AO47)=1,2,1)</f>
        <v>0</v>
      </c>
      <c r="AQ47" s="41"/>
      <c r="AR47" s="41">
        <f t="shared" si="18"/>
        <v>4</v>
      </c>
    </row>
    <row r="48" ht="14.25" customHeight="1">
      <c r="A48" s="41"/>
      <c r="B48" s="58" t="s">
        <v>1</v>
      </c>
      <c r="C48" s="54">
        <v>2.0</v>
      </c>
      <c r="D48" s="54" t="s">
        <v>98</v>
      </c>
      <c r="E48" s="54">
        <v>2.0</v>
      </c>
      <c r="F48" s="55" t="str">
        <f>if(E48="","",IF(C48&gt;E48,"casa",IF(C48=E48,"empate","visita")))</f>
        <v>empate</v>
      </c>
      <c r="G48" s="59"/>
      <c r="H48" s="54">
        <v>3.0</v>
      </c>
      <c r="I48" s="54" t="s">
        <v>98</v>
      </c>
      <c r="J48" s="54">
        <v>0.0</v>
      </c>
      <c r="K48" s="55" t="str">
        <f>if(J48="","",IF(H48&gt;J48,"casa",IF(H48=J48,"empate","visita")))</f>
        <v>casa</v>
      </c>
      <c r="L48" s="59"/>
      <c r="M48" s="54">
        <v>2.0</v>
      </c>
      <c r="N48" s="54" t="s">
        <v>98</v>
      </c>
      <c r="O48" s="54">
        <v>1.0</v>
      </c>
      <c r="P48" s="55" t="str">
        <f>if(O48="","",IF(M48&gt;O48,"casa",IF(M48=O48,"empate","visita")))</f>
        <v>casa</v>
      </c>
      <c r="Q48" s="59"/>
      <c r="R48" s="54">
        <v>4.0</v>
      </c>
      <c r="S48" s="54" t="s">
        <v>98</v>
      </c>
      <c r="T48" s="54">
        <v>1.0</v>
      </c>
      <c r="U48" s="55" t="str">
        <f>if(T48="","",IF(R48&gt;T48,"casa",IF(R48=T48,"empate","visita")))</f>
        <v>casa</v>
      </c>
      <c r="V48" s="59"/>
      <c r="W48" s="54">
        <v>3.0</v>
      </c>
      <c r="X48" s="54" t="s">
        <v>98</v>
      </c>
      <c r="Y48" s="54">
        <v>2.0</v>
      </c>
      <c r="Z48" s="55" t="str">
        <f>if(Y48="","",IF(W48&gt;Y48,"casa",IF(W48=Y48,"empate","visita")))</f>
        <v>casa</v>
      </c>
      <c r="AA48" s="59"/>
      <c r="AB48" s="54">
        <v>4.0</v>
      </c>
      <c r="AC48" s="54" t="s">
        <v>98</v>
      </c>
      <c r="AD48" s="54">
        <v>1.0</v>
      </c>
      <c r="AE48" s="55" t="str">
        <f>if(AD48="","",IF(AB48&gt;AD48,"casa",IF(AB48=AD48,"empate","visita")))</f>
        <v>casa</v>
      </c>
      <c r="AF48" s="59"/>
      <c r="AG48" s="54">
        <v>1.0</v>
      </c>
      <c r="AH48" s="54" t="s">
        <v>98</v>
      </c>
      <c r="AI48" s="54">
        <v>2.0</v>
      </c>
      <c r="AJ48" s="55" t="str">
        <f>if(AI48="","",IF(AG48&gt;AI48,"casa",IF(AG48=AI48,"empate","visita")))</f>
        <v>visita</v>
      </c>
      <c r="AK48" s="59"/>
      <c r="AL48" s="54">
        <v>0.0</v>
      </c>
      <c r="AM48" s="54" t="s">
        <v>98</v>
      </c>
      <c r="AN48" s="54">
        <v>0.0</v>
      </c>
      <c r="AO48" s="55" t="str">
        <f>if(AN48="","",IF(AL48&gt;AN48,"casa",IF(AL48=AN48,"empate","visita")))</f>
        <v>empate</v>
      </c>
      <c r="AP48" s="59"/>
      <c r="AQ48" s="56"/>
      <c r="AR48" s="56"/>
    </row>
    <row r="49" ht="7.5" customHeight="1">
      <c r="A49" s="41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1"/>
      <c r="AR49" s="41"/>
    </row>
    <row r="50" ht="14.25" customHeight="1">
      <c r="A50" s="41"/>
      <c r="B50" s="40"/>
      <c r="C50" s="60" t="s">
        <v>107</v>
      </c>
      <c r="D50" s="61"/>
      <c r="E50" s="62"/>
      <c r="F50" s="9"/>
      <c r="G50" s="9"/>
      <c r="H50" s="60" t="s">
        <v>107</v>
      </c>
      <c r="I50" s="61"/>
      <c r="J50" s="62"/>
      <c r="K50" s="9"/>
      <c r="L50" s="9"/>
      <c r="M50" s="60" t="s">
        <v>107</v>
      </c>
      <c r="N50" s="61"/>
      <c r="O50" s="62"/>
      <c r="P50" s="9"/>
      <c r="Q50" s="9"/>
      <c r="R50" s="60" t="s">
        <v>107</v>
      </c>
      <c r="S50" s="61"/>
      <c r="T50" s="62"/>
      <c r="U50" s="9"/>
      <c r="V50" s="9"/>
      <c r="W50" s="60" t="s">
        <v>107</v>
      </c>
      <c r="X50" s="61"/>
      <c r="Y50" s="62"/>
      <c r="Z50" s="9"/>
      <c r="AA50" s="9"/>
      <c r="AB50" s="60" t="s">
        <v>107</v>
      </c>
      <c r="AC50" s="61"/>
      <c r="AD50" s="62"/>
      <c r="AE50" s="9"/>
      <c r="AF50" s="9"/>
      <c r="AG50" s="60" t="s">
        <v>107</v>
      </c>
      <c r="AH50" s="61"/>
      <c r="AI50" s="62"/>
      <c r="AJ50" s="9"/>
      <c r="AK50" s="9"/>
      <c r="AL50" s="60" t="s">
        <v>107</v>
      </c>
      <c r="AM50" s="61"/>
      <c r="AN50" s="62"/>
      <c r="AO50" s="9"/>
      <c r="AP50" s="9"/>
      <c r="AQ50" s="41"/>
      <c r="AR50" s="41"/>
    </row>
    <row r="51" ht="14.25" customHeight="1">
      <c r="A51" s="41"/>
      <c r="B51" s="63" t="s">
        <v>9</v>
      </c>
      <c r="C51" s="64" t="str">
        <f>VLOOKUP($B51,Form_Playoff1aFase!$C$1:$AQ$44,6,FALSE)</f>
        <v>Paris Saint-Germain</v>
      </c>
      <c r="D51" s="61"/>
      <c r="E51" s="62"/>
      <c r="F51" s="9"/>
      <c r="G51" s="48">
        <f>IF(C51=C$72,Pesos!$M$4,0)*IF(COUNTIF(C$51:E$71,C51)=1,2,1)</f>
        <v>1.5</v>
      </c>
      <c r="H51" s="64" t="str">
        <f>VLOOKUP($B51,Form_Playoff1aFase!$C$1:$AQ$44,11,FALSE)</f>
        <v>Juventus</v>
      </c>
      <c r="I51" s="61"/>
      <c r="J51" s="62"/>
      <c r="K51" s="9"/>
      <c r="L51" s="48">
        <f>IF(H51=H$72,Pesos!$M$4,0)*IF(COUNTIF(H$51:J$71,H51)=1,2,1)</f>
        <v>0</v>
      </c>
      <c r="M51" s="64" t="str">
        <f>VLOOKUP($B51,Form_Playoff1aFase!$C$1:$AQ$44,16,FALSE)</f>
        <v>Real Madrid</v>
      </c>
      <c r="N51" s="61"/>
      <c r="O51" s="62"/>
      <c r="P51" s="9"/>
      <c r="Q51" s="48">
        <f>IF(M51=M$72,Pesos!$M$4,0)*IF(COUNTIF(M$51:O$71,M51)=1,2,1)</f>
        <v>1.5</v>
      </c>
      <c r="R51" s="64" t="str">
        <f>VLOOKUP($B51,Form_Playoff1aFase!$C$1:$AQ$44,21,FALSE)</f>
        <v>Borussia Dortmund</v>
      </c>
      <c r="S51" s="61"/>
      <c r="T51" s="62"/>
      <c r="U51" s="9"/>
      <c r="V51" s="48">
        <f>IF(R51=R$72,Pesos!$M$4,0)*IF(COUNTIF(R$51:T$71,R51)=1,2,1)</f>
        <v>0</v>
      </c>
      <c r="W51" s="64" t="str">
        <f>VLOOKUP($B51,Form_Playoff1aFase!$C$1:$AQ$44,26,FALSE)</f>
        <v>Newcastle</v>
      </c>
      <c r="X51" s="61"/>
      <c r="Y51" s="62"/>
      <c r="Z51" s="9"/>
      <c r="AA51" s="48">
        <f>IF(W51=W$72,Pesos!$M$4,0)*IF(COUNTIF(W$51:Y$71,W51)=1,2,1)</f>
        <v>1.5</v>
      </c>
      <c r="AB51" s="64" t="str">
        <f>VLOOKUP($B51,Form_Playoff1aFase!$C$1:$AQ$44,31,FALSE)</f>
        <v>Atlético de Madrid</v>
      </c>
      <c r="AC51" s="61"/>
      <c r="AD51" s="62"/>
      <c r="AE51" s="9"/>
      <c r="AF51" s="48">
        <f>IF(AB51=AB$72,Pesos!$M$4,0)*IF(COUNTIF(AB$51:AD$71,AB51)=1,2,1)</f>
        <v>1.5</v>
      </c>
      <c r="AG51" s="64" t="str">
        <f>VLOOKUP($B51,Form_Playoff1aFase!$C$1:$AQ$44,36,FALSE)</f>
        <v>Internazionale</v>
      </c>
      <c r="AH51" s="61"/>
      <c r="AI51" s="62"/>
      <c r="AJ51" s="9"/>
      <c r="AK51" s="48">
        <f>IF(AG51=AG$72,Pesos!$M$4,0)*IF(COUNTIF(AG$51:AI$71,AG51)=1,2,1)</f>
        <v>0</v>
      </c>
      <c r="AL51" s="64" t="str">
        <f>VLOOKUP($B51,Form_Playoff1aFase!$C$1:$AQ$44,41,FALSE)</f>
        <v>Bayer Leverkusen</v>
      </c>
      <c r="AM51" s="61"/>
      <c r="AN51" s="62"/>
      <c r="AO51" s="9"/>
      <c r="AP51" s="48">
        <f>IF(AL51=AL$72,Pesos!$M$4,0)*IF(COUNTIF(AL$51:AN$71,AL51)=1,2,1)</f>
        <v>1.5</v>
      </c>
      <c r="AQ51" s="41"/>
      <c r="AR51" s="41">
        <f t="shared" ref="AR51:AR71" si="19">IF(L51=0,0,1)+IF(Q51=0,0,1)+IF(V51=0,0,1)+IF(AA51=0,0,1)+IF(AF51=0,0,1)+IF(AK51=0,0,1)+IF(AP51=0,0,1)+IF(G51=0,0,1)</f>
        <v>5</v>
      </c>
    </row>
    <row r="52" ht="14.25" customHeight="1">
      <c r="A52" s="41"/>
      <c r="B52" s="51" t="s">
        <v>10</v>
      </c>
      <c r="C52" s="64" t="str">
        <f>VLOOKUP($B52,Form_Playoff1aFase!$C$1:$AQ$44,6,FALSE)</f>
        <v>Paris Saint-Germain</v>
      </c>
      <c r="D52" s="61"/>
      <c r="E52" s="62"/>
      <c r="F52" s="9"/>
      <c r="G52" s="48">
        <f>IF(C52=C$72,Pesos!$M$4,0)*IF(COUNTIF(C$51:E$71,C52)=1,2,1)</f>
        <v>1.5</v>
      </c>
      <c r="H52" s="64" t="str">
        <f>VLOOKUP($B52,Form_Playoff1aFase!$C$1:$AQ$44,11,FALSE)</f>
        <v>Juventus</v>
      </c>
      <c r="I52" s="61"/>
      <c r="J52" s="62"/>
      <c r="K52" s="9"/>
      <c r="L52" s="48">
        <f>IF(H52=H$72,Pesos!$M$4,0)*IF(COUNTIF(H$51:J$71,H52)=1,2,1)</f>
        <v>0</v>
      </c>
      <c r="M52" s="64" t="str">
        <f>VLOOKUP($B52,Form_Playoff1aFase!$C$1:$AQ$44,16,FALSE)</f>
        <v>Real Madrid</v>
      </c>
      <c r="N52" s="61"/>
      <c r="O52" s="62"/>
      <c r="P52" s="9"/>
      <c r="Q52" s="48">
        <f>IF(M52=M$72,Pesos!$M$4,0)*IF(COUNTIF(M$51:O$71,M52)=1,2,1)</f>
        <v>1.5</v>
      </c>
      <c r="R52" s="64" t="str">
        <f>VLOOKUP($B52,Form_Playoff1aFase!$C$1:$AQ$44,21,FALSE)</f>
        <v>Atalanta</v>
      </c>
      <c r="S52" s="61"/>
      <c r="T52" s="62"/>
      <c r="U52" s="9"/>
      <c r="V52" s="48">
        <f>IF(R52=R$72,Pesos!$M$4,0)*IF(COUNTIF(R$51:T$71,R52)=1,2,1)</f>
        <v>1.5</v>
      </c>
      <c r="W52" s="64" t="str">
        <f>VLOOKUP($B52,Form_Playoff1aFase!$C$1:$AQ$44,26,FALSE)</f>
        <v>Newcastle</v>
      </c>
      <c r="X52" s="61"/>
      <c r="Y52" s="62"/>
      <c r="Z52" s="9"/>
      <c r="AA52" s="48">
        <f>IF(W52=W$72,Pesos!$M$4,0)*IF(COUNTIF(W$51:Y$71,W52)=1,2,1)</f>
        <v>1.5</v>
      </c>
      <c r="AB52" s="64" t="str">
        <f>VLOOKUP($B52,Form_Playoff1aFase!$C$1:$AQ$44,31,FALSE)</f>
        <v>Atlético de Madrid</v>
      </c>
      <c r="AC52" s="61"/>
      <c r="AD52" s="62"/>
      <c r="AE52" s="9"/>
      <c r="AF52" s="48">
        <f>IF(AB52=AB$72,Pesos!$M$4,0)*IF(COUNTIF(AB$51:AD$71,AB52)=1,2,1)</f>
        <v>1.5</v>
      </c>
      <c r="AG52" s="64" t="str">
        <f>VLOOKUP($B52,Form_Playoff1aFase!$C$1:$AQ$44,36,FALSE)</f>
        <v>Internazionale</v>
      </c>
      <c r="AH52" s="61"/>
      <c r="AI52" s="62"/>
      <c r="AJ52" s="9"/>
      <c r="AK52" s="48">
        <f>IF(AG52=AG$72,Pesos!$M$4,0)*IF(COUNTIF(AG$51:AI$71,AG52)=1,2,1)</f>
        <v>0</v>
      </c>
      <c r="AL52" s="64" t="str">
        <f>VLOOKUP($B52,Form_Playoff1aFase!$C$1:$AQ$44,41,FALSE)</f>
        <v>Bayer Leverkusen</v>
      </c>
      <c r="AM52" s="61"/>
      <c r="AN52" s="62"/>
      <c r="AO52" s="9"/>
      <c r="AP52" s="48">
        <f>IF(AL52=AL$72,Pesos!$M$4,0)*IF(COUNTIF(AL$51:AN$71,AL52)=1,2,1)</f>
        <v>1.5</v>
      </c>
      <c r="AQ52" s="41"/>
      <c r="AR52" s="41">
        <f t="shared" si="19"/>
        <v>6</v>
      </c>
    </row>
    <row r="53" ht="14.25" customHeight="1">
      <c r="A53" s="41"/>
      <c r="B53" s="51" t="s">
        <v>17</v>
      </c>
      <c r="C53" s="64" t="str">
        <f>VLOOKUP($B53,Form_Playoff1aFase!$C$1:$AQ$44,6,FALSE)</f>
        <v>Paris Saint-Germain</v>
      </c>
      <c r="D53" s="61"/>
      <c r="E53" s="62"/>
      <c r="F53" s="9"/>
      <c r="G53" s="48">
        <f>IF(C53=C$72,Pesos!$M$4,0)*IF(COUNTIF(C$51:E$71,C53)=1,2,1)</f>
        <v>1.5</v>
      </c>
      <c r="H53" s="64" t="str">
        <f>VLOOKUP($B53,Form_Playoff1aFase!$C$1:$AQ$44,11,FALSE)</f>
        <v>Juventus</v>
      </c>
      <c r="I53" s="61"/>
      <c r="J53" s="62"/>
      <c r="K53" s="9"/>
      <c r="L53" s="48">
        <f>IF(H53=H$72,Pesos!$M$4,0)*IF(COUNTIF(H$51:J$71,H53)=1,2,1)</f>
        <v>0</v>
      </c>
      <c r="M53" s="64" t="str">
        <f>VLOOKUP($B53,Form_Playoff1aFase!$C$1:$AQ$44,16,FALSE)</f>
        <v>Real Madrid</v>
      </c>
      <c r="N53" s="61"/>
      <c r="O53" s="62"/>
      <c r="P53" s="9"/>
      <c r="Q53" s="48">
        <f>IF(M53=M$72,Pesos!$M$4,0)*IF(COUNTIF(M$51:O$71,M53)=1,2,1)</f>
        <v>1.5</v>
      </c>
      <c r="R53" s="64" t="str">
        <f>VLOOKUP($B53,Form_Playoff1aFase!$C$1:$AQ$44,21,FALSE)</f>
        <v>Borussia Dortmund</v>
      </c>
      <c r="S53" s="61"/>
      <c r="T53" s="62"/>
      <c r="U53" s="9"/>
      <c r="V53" s="48">
        <f>IF(R53=R$72,Pesos!$M$4,0)*IF(COUNTIF(R$51:T$71,R53)=1,2,1)</f>
        <v>0</v>
      </c>
      <c r="W53" s="64" t="str">
        <f>VLOOKUP($B53,Form_Playoff1aFase!$C$1:$AQ$44,26,FALSE)</f>
        <v>Newcastle</v>
      </c>
      <c r="X53" s="61"/>
      <c r="Y53" s="62"/>
      <c r="Z53" s="9"/>
      <c r="AA53" s="48">
        <f>IF(W53=W$72,Pesos!$M$4,0)*IF(COUNTIF(W$51:Y$71,W53)=1,2,1)</f>
        <v>1.5</v>
      </c>
      <c r="AB53" s="64" t="str">
        <f>VLOOKUP($B53,Form_Playoff1aFase!$C$1:$AQ$44,31,FALSE)</f>
        <v>Atlético de Madrid</v>
      </c>
      <c r="AC53" s="61"/>
      <c r="AD53" s="62"/>
      <c r="AE53" s="9"/>
      <c r="AF53" s="48">
        <f>IF(AB53=AB$72,Pesos!$M$4,0)*IF(COUNTIF(AB$51:AD$71,AB53)=1,2,1)</f>
        <v>1.5</v>
      </c>
      <c r="AG53" s="64" t="str">
        <f>VLOOKUP($B53,Form_Playoff1aFase!$C$1:$AQ$44,36,FALSE)</f>
        <v>Internazionale</v>
      </c>
      <c r="AH53" s="61"/>
      <c r="AI53" s="62"/>
      <c r="AJ53" s="9"/>
      <c r="AK53" s="48">
        <f>IF(AG53=AG$72,Pesos!$M$4,0)*IF(COUNTIF(AG$51:AI$71,AG53)=1,2,1)</f>
        <v>0</v>
      </c>
      <c r="AL53" s="64" t="str">
        <f>VLOOKUP($B53,Form_Playoff1aFase!$C$1:$AQ$44,41,FALSE)</f>
        <v>Bayer Leverkusen</v>
      </c>
      <c r="AM53" s="61"/>
      <c r="AN53" s="62"/>
      <c r="AO53" s="47"/>
      <c r="AP53" s="48">
        <f>IF(AL53=AL$72,Pesos!$M$4,0)*IF(COUNTIF(AL$51:AN$71,AL53)=1,2,1)</f>
        <v>1.5</v>
      </c>
      <c r="AQ53" s="41"/>
      <c r="AR53" s="41">
        <f t="shared" si="19"/>
        <v>5</v>
      </c>
    </row>
    <row r="54" ht="14.25" customHeight="1">
      <c r="A54" s="41"/>
      <c r="B54" s="51" t="s">
        <v>3</v>
      </c>
      <c r="C54" s="64" t="str">
        <f>VLOOKUP($B54,Form_Playoff1aFase!$C$1:$AQ$44,6,FALSE)</f>
        <v>Paris Saint-Germain</v>
      </c>
      <c r="D54" s="61"/>
      <c r="E54" s="62"/>
      <c r="F54" s="9"/>
      <c r="G54" s="48">
        <f>IF(C54=C$72,Pesos!$M$4,0)*IF(COUNTIF(C$51:E$71,C54)=1,2,1)</f>
        <v>1.5</v>
      </c>
      <c r="H54" s="64" t="str">
        <f>VLOOKUP($B54,Form_Playoff1aFase!$C$1:$AQ$44,11,FALSE)</f>
        <v>Juventus</v>
      </c>
      <c r="I54" s="61"/>
      <c r="J54" s="62"/>
      <c r="K54" s="9"/>
      <c r="L54" s="48">
        <f>IF(H54=H$72,Pesos!$M$4,0)*IF(COUNTIF(H$51:J$71,H54)=1,2,1)</f>
        <v>0</v>
      </c>
      <c r="M54" s="64" t="str">
        <f>VLOOKUP($B54,Form_Playoff1aFase!$C$1:$AQ$44,16,FALSE)</f>
        <v>Real Madrid</v>
      </c>
      <c r="N54" s="61"/>
      <c r="O54" s="62"/>
      <c r="P54" s="9"/>
      <c r="Q54" s="48">
        <f>IF(M54=M$72,Pesos!$M$4,0)*IF(COUNTIF(M$51:O$71,M54)=1,2,1)</f>
        <v>1.5</v>
      </c>
      <c r="R54" s="64" t="str">
        <f>VLOOKUP($B54,Form_Playoff1aFase!$C$1:$AQ$44,21,FALSE)</f>
        <v>Borussia Dortmund</v>
      </c>
      <c r="S54" s="61"/>
      <c r="T54" s="62"/>
      <c r="U54" s="9"/>
      <c r="V54" s="48">
        <f>IF(R54=R$72,Pesos!$M$4,0)*IF(COUNTIF(R$51:T$71,R54)=1,2,1)</f>
        <v>0</v>
      </c>
      <c r="W54" s="64" t="str">
        <f>VLOOKUP($B54,Form_Playoff1aFase!$C$1:$AQ$44,26,FALSE)</f>
        <v>Newcastle</v>
      </c>
      <c r="X54" s="61"/>
      <c r="Y54" s="62"/>
      <c r="Z54" s="9"/>
      <c r="AA54" s="48">
        <f>IF(W54=W$72,Pesos!$M$4,0)*IF(COUNTIF(W$51:Y$71,W54)=1,2,1)</f>
        <v>1.5</v>
      </c>
      <c r="AB54" s="64" t="str">
        <f>VLOOKUP($B54,Form_Playoff1aFase!$C$1:$AQ$44,31,FALSE)</f>
        <v>Atlético de Madrid</v>
      </c>
      <c r="AC54" s="61"/>
      <c r="AD54" s="62"/>
      <c r="AE54" s="9"/>
      <c r="AF54" s="48">
        <f>IF(AB54=AB$72,Pesos!$M$4,0)*IF(COUNTIF(AB$51:AD$71,AB54)=1,2,1)</f>
        <v>1.5</v>
      </c>
      <c r="AG54" s="64" t="str">
        <f>VLOOKUP($B54,Form_Playoff1aFase!$C$1:$AQ$44,36,FALSE)</f>
        <v>Internazionale</v>
      </c>
      <c r="AH54" s="61"/>
      <c r="AI54" s="62"/>
      <c r="AJ54" s="9"/>
      <c r="AK54" s="48">
        <f>IF(AG54=AG$72,Pesos!$M$4,0)*IF(COUNTIF(AG$51:AI$71,AG54)=1,2,1)</f>
        <v>0</v>
      </c>
      <c r="AL54" s="64" t="str">
        <f>VLOOKUP($B54,Form_Playoff1aFase!$C$1:$AQ$44,41,FALSE)</f>
        <v>Bayer Leverkusen</v>
      </c>
      <c r="AM54" s="61"/>
      <c r="AN54" s="62"/>
      <c r="AO54" s="9"/>
      <c r="AP54" s="48">
        <f>IF(AL54=AL$72,Pesos!$M$4,0)*IF(COUNTIF(AL$51:AN$71,AL54)=1,2,1)</f>
        <v>1.5</v>
      </c>
      <c r="AQ54" s="41"/>
      <c r="AR54" s="41">
        <f t="shared" si="19"/>
        <v>5</v>
      </c>
    </row>
    <row r="55" ht="14.25" customHeight="1">
      <c r="A55" s="41"/>
      <c r="B55" s="51" t="s">
        <v>13</v>
      </c>
      <c r="C55" s="64" t="str">
        <f>VLOOKUP($B55,Form_Playoff1aFase!$C$1:$AQ$44,6,FALSE)</f>
        <v>Paris Saint-Germain</v>
      </c>
      <c r="D55" s="61"/>
      <c r="E55" s="62"/>
      <c r="F55" s="9"/>
      <c r="G55" s="48">
        <f>IF(C55=C$72,Pesos!$M$4,0)*IF(COUNTIF(C$51:E$71,C55)=1,2,1)</f>
        <v>1.5</v>
      </c>
      <c r="H55" s="64" t="str">
        <f>VLOOKUP($B55,Form_Playoff1aFase!$C$1:$AQ$44,11,FALSE)</f>
        <v>Juventus</v>
      </c>
      <c r="I55" s="61"/>
      <c r="J55" s="62"/>
      <c r="K55" s="9"/>
      <c r="L55" s="48">
        <f>IF(H55=H$72,Pesos!$M$4,0)*IF(COUNTIF(H$51:J$71,H55)=1,2,1)</f>
        <v>0</v>
      </c>
      <c r="M55" s="64" t="str">
        <f>VLOOKUP($B55,Form_Playoff1aFase!$C$1:$AQ$44,16,FALSE)</f>
        <v>Real Madrid</v>
      </c>
      <c r="N55" s="61"/>
      <c r="O55" s="62"/>
      <c r="P55" s="9"/>
      <c r="Q55" s="48">
        <f>IF(M55=M$72,Pesos!$M$4,0)*IF(COUNTIF(M$51:O$71,M55)=1,2,1)</f>
        <v>1.5</v>
      </c>
      <c r="R55" s="64" t="str">
        <f>VLOOKUP($B55,Form_Playoff1aFase!$C$1:$AQ$44,21,FALSE)</f>
        <v>Borussia Dortmund</v>
      </c>
      <c r="S55" s="61"/>
      <c r="T55" s="62"/>
      <c r="U55" s="9"/>
      <c r="V55" s="48">
        <f>IF(R55=R$72,Pesos!$M$4,0)*IF(COUNTIF(R$51:T$71,R55)=1,2,1)</f>
        <v>0</v>
      </c>
      <c r="W55" s="64" t="str">
        <f>VLOOKUP($B55,Form_Playoff1aFase!$C$1:$AQ$44,26,FALSE)</f>
        <v>Newcastle</v>
      </c>
      <c r="X55" s="61"/>
      <c r="Y55" s="62"/>
      <c r="Z55" s="9"/>
      <c r="AA55" s="48">
        <f>IF(W55=W$72,Pesos!$M$4,0)*IF(COUNTIF(W$51:Y$71,W55)=1,2,1)</f>
        <v>1.5</v>
      </c>
      <c r="AB55" s="64" t="str">
        <f>VLOOKUP($B55,Form_Playoff1aFase!$C$1:$AQ$44,31,FALSE)</f>
        <v>Atlético de Madrid</v>
      </c>
      <c r="AC55" s="61"/>
      <c r="AD55" s="62"/>
      <c r="AE55" s="9"/>
      <c r="AF55" s="48">
        <f>IF(AB55=AB$72,Pesos!$M$4,0)*IF(COUNTIF(AB$51:AD$71,AB55)=1,2,1)</f>
        <v>1.5</v>
      </c>
      <c r="AG55" s="64" t="str">
        <f>VLOOKUP($B55,Form_Playoff1aFase!$C$1:$AQ$44,36,FALSE)</f>
        <v>Internazionale</v>
      </c>
      <c r="AH55" s="61"/>
      <c r="AI55" s="62"/>
      <c r="AJ55" s="9"/>
      <c r="AK55" s="48">
        <f>IF(AG55=AG$72,Pesos!$M$4,0)*IF(COUNTIF(AG$51:AI$71,AG55)=1,2,1)</f>
        <v>0</v>
      </c>
      <c r="AL55" s="64" t="str">
        <f>VLOOKUP($B55,Form_Playoff1aFase!$C$1:$AQ$44,41,FALSE)</f>
        <v>Bayer Leverkusen</v>
      </c>
      <c r="AM55" s="61"/>
      <c r="AN55" s="62"/>
      <c r="AO55" s="9"/>
      <c r="AP55" s="48">
        <f>IF(AL55=AL$72,Pesos!$M$4,0)*IF(COUNTIF(AL$51:AN$71,AL55)=1,2,1)</f>
        <v>1.5</v>
      </c>
      <c r="AQ55" s="41"/>
      <c r="AR55" s="41">
        <f t="shared" si="19"/>
        <v>5</v>
      </c>
    </row>
    <row r="56" ht="14.25" customHeight="1">
      <c r="A56" s="41"/>
      <c r="B56" s="51" t="s">
        <v>14</v>
      </c>
      <c r="C56" s="64" t="str">
        <f>VLOOKUP($B56,Form_Playoff1aFase!$C$1:$AQ$44,6,FALSE)</f>
        <v>Paris Saint-Germain</v>
      </c>
      <c r="D56" s="61"/>
      <c r="E56" s="62"/>
      <c r="F56" s="9"/>
      <c r="G56" s="48">
        <f>IF(C56=C$72,Pesos!$M$4,0)*IF(COUNTIF(C$51:E$71,C56)=1,2,1)</f>
        <v>1.5</v>
      </c>
      <c r="H56" s="64" t="str">
        <f>VLOOKUP($B56,Form_Playoff1aFase!$C$1:$AQ$44,11,FALSE)</f>
        <v>Juventus</v>
      </c>
      <c r="I56" s="61"/>
      <c r="J56" s="62"/>
      <c r="K56" s="9"/>
      <c r="L56" s="48">
        <f>IF(H56=H$72,Pesos!$M$4,0)*IF(COUNTIF(H$51:J$71,H56)=1,2,1)</f>
        <v>0</v>
      </c>
      <c r="M56" s="64" t="str">
        <f>VLOOKUP($B56,Form_Playoff1aFase!$C$1:$AQ$44,16,FALSE)</f>
        <v>Real Madrid</v>
      </c>
      <c r="N56" s="61"/>
      <c r="O56" s="62"/>
      <c r="P56" s="9"/>
      <c r="Q56" s="48">
        <f>IF(M56=M$72,Pesos!$M$4,0)*IF(COUNTIF(M$51:O$71,M56)=1,2,1)</f>
        <v>1.5</v>
      </c>
      <c r="R56" s="64" t="str">
        <f>VLOOKUP($B56,Form_Playoff1aFase!$C$1:$AQ$44,21,FALSE)</f>
        <v>Atalanta</v>
      </c>
      <c r="S56" s="61"/>
      <c r="T56" s="62"/>
      <c r="U56" s="9"/>
      <c r="V56" s="48">
        <f>IF(R56=R$72,Pesos!$M$4,0)*IF(COUNTIF(R$51:T$71,R56)=1,2,1)</f>
        <v>1.5</v>
      </c>
      <c r="W56" s="64" t="str">
        <f>VLOOKUP($B56,Form_Playoff1aFase!$C$1:$AQ$44,26,FALSE)</f>
        <v>Newcastle</v>
      </c>
      <c r="X56" s="61"/>
      <c r="Y56" s="62"/>
      <c r="Z56" s="9"/>
      <c r="AA56" s="48">
        <f>IF(W56=W$72,Pesos!$M$4,0)*IF(COUNTIF(W$51:Y$71,W56)=1,2,1)</f>
        <v>1.5</v>
      </c>
      <c r="AB56" s="64" t="str">
        <f>VLOOKUP($B56,Form_Playoff1aFase!$C$1:$AQ$44,31,FALSE)</f>
        <v>Atlético de Madrid</v>
      </c>
      <c r="AC56" s="61"/>
      <c r="AD56" s="62"/>
      <c r="AE56" s="9"/>
      <c r="AF56" s="48">
        <f>IF(AB56=AB$72,Pesos!$M$4,0)*IF(COUNTIF(AB$51:AD$71,AB56)=1,2,1)</f>
        <v>1.5</v>
      </c>
      <c r="AG56" s="64" t="str">
        <f>VLOOKUP($B56,Form_Playoff1aFase!$C$1:$AQ$44,36,FALSE)</f>
        <v>Internazionale</v>
      </c>
      <c r="AH56" s="61"/>
      <c r="AI56" s="62"/>
      <c r="AJ56" s="9"/>
      <c r="AK56" s="48">
        <f>IF(AG56=AG$72,Pesos!$M$4,0)*IF(COUNTIF(AG$51:AI$71,AG56)=1,2,1)</f>
        <v>0</v>
      </c>
      <c r="AL56" s="64" t="str">
        <f>VLOOKUP($B56,Form_Playoff1aFase!$C$1:$AQ$44,41,FALSE)</f>
        <v>Olympiacos</v>
      </c>
      <c r="AM56" s="61"/>
      <c r="AN56" s="62"/>
      <c r="AO56" s="9"/>
      <c r="AP56" s="48">
        <f>IF(AL56=AL$72,Pesos!$M$4,0)*IF(COUNTIF(AL$51:AN$71,AL56)=1,2,1)</f>
        <v>0</v>
      </c>
      <c r="AQ56" s="41"/>
      <c r="AR56" s="41">
        <f t="shared" si="19"/>
        <v>5</v>
      </c>
    </row>
    <row r="57" ht="14.25" customHeight="1">
      <c r="A57" s="41"/>
      <c r="B57" s="51" t="s">
        <v>6</v>
      </c>
      <c r="C57" s="64" t="str">
        <f>VLOOKUP($B57,Form_Playoff1aFase!$C$1:$AQ$44,6,FALSE)</f>
        <v>Paris Saint-Germain</v>
      </c>
      <c r="D57" s="61"/>
      <c r="E57" s="62"/>
      <c r="F57" s="9"/>
      <c r="G57" s="48">
        <f>IF(C57=C$72,Pesos!$M$4,0)*IF(COUNTIF(C$51:E$71,C57)=1,2,1)</f>
        <v>1.5</v>
      </c>
      <c r="H57" s="64" t="str">
        <f>VLOOKUP($B57,Form_Playoff1aFase!$C$1:$AQ$44,11,FALSE)</f>
        <v>Galatasaray</v>
      </c>
      <c r="I57" s="61"/>
      <c r="J57" s="62"/>
      <c r="K57" s="9"/>
      <c r="L57" s="48">
        <f>IF(H57=H$72,Pesos!$M$4,0)*IF(COUNTIF(H$51:J$71,H57)=1,2,1)</f>
        <v>1.5</v>
      </c>
      <c r="M57" s="64" t="str">
        <f>VLOOKUP($B57,Form_Playoff1aFase!$C$1:$AQ$44,16,FALSE)</f>
        <v>Real Madrid</v>
      </c>
      <c r="N57" s="61"/>
      <c r="O57" s="62"/>
      <c r="P57" s="9"/>
      <c r="Q57" s="48">
        <f>IF(M57=M$72,Pesos!$M$4,0)*IF(COUNTIF(M$51:O$71,M57)=1,2,1)</f>
        <v>1.5</v>
      </c>
      <c r="R57" s="64" t="str">
        <f>VLOOKUP($B57,Form_Playoff1aFase!$C$1:$AQ$44,21,FALSE)</f>
        <v>Borussia Dortmund</v>
      </c>
      <c r="S57" s="61"/>
      <c r="T57" s="62"/>
      <c r="U57" s="9"/>
      <c r="V57" s="48">
        <f>IF(R57=R$72,Pesos!$M$4,0)*IF(COUNTIF(R$51:T$71,R57)=1,2,1)</f>
        <v>0</v>
      </c>
      <c r="W57" s="64" t="str">
        <f>VLOOKUP($B57,Form_Playoff1aFase!$C$1:$AQ$44,26,FALSE)</f>
        <v>Newcastle</v>
      </c>
      <c r="X57" s="61"/>
      <c r="Y57" s="62"/>
      <c r="Z57" s="9"/>
      <c r="AA57" s="48">
        <f>IF(W57=W$72,Pesos!$M$4,0)*IF(COUNTIF(W$51:Y$71,W57)=1,2,1)</f>
        <v>1.5</v>
      </c>
      <c r="AB57" s="64" t="str">
        <f>VLOOKUP($B57,Form_Playoff1aFase!$C$1:$AQ$44,31,FALSE)</f>
        <v>Atlético de Madrid</v>
      </c>
      <c r="AC57" s="61"/>
      <c r="AD57" s="62"/>
      <c r="AE57" s="9"/>
      <c r="AF57" s="48">
        <f>IF(AB57=AB$72,Pesos!$M$4,0)*IF(COUNTIF(AB$51:AD$71,AB57)=1,2,1)</f>
        <v>1.5</v>
      </c>
      <c r="AG57" s="64" t="str">
        <f>VLOOKUP($B57,Form_Playoff1aFase!$C$1:$AQ$44,36,FALSE)</f>
        <v>Internazionale</v>
      </c>
      <c r="AH57" s="61"/>
      <c r="AI57" s="62"/>
      <c r="AJ57" s="9"/>
      <c r="AK57" s="48">
        <f>IF(AG57=AG$72,Pesos!$M$4,0)*IF(COUNTIF(AG$51:AI$71,AG57)=1,2,1)</f>
        <v>0</v>
      </c>
      <c r="AL57" s="64" t="str">
        <f>VLOOKUP($B57,Form_Playoff1aFase!$C$1:$AQ$44,41,FALSE)</f>
        <v>Olympiacos</v>
      </c>
      <c r="AM57" s="61"/>
      <c r="AN57" s="62"/>
      <c r="AO57" s="47"/>
      <c r="AP57" s="48">
        <f>IF(AL57=AL$72,Pesos!$M$4,0)*IF(COUNTIF(AL$51:AN$71,AL57)=1,2,1)</f>
        <v>0</v>
      </c>
      <c r="AQ57" s="41"/>
      <c r="AR57" s="41">
        <f t="shared" si="19"/>
        <v>5</v>
      </c>
    </row>
    <row r="58" ht="15.0" customHeight="1">
      <c r="A58" s="41"/>
      <c r="B58" s="51" t="s">
        <v>5</v>
      </c>
      <c r="C58" s="64" t="str">
        <f>VLOOKUP($B58,Form_Playoff1aFase!$C$1:$AQ$44,6,FALSE)</f>
        <v>Paris Saint-Germain</v>
      </c>
      <c r="D58" s="61"/>
      <c r="E58" s="62"/>
      <c r="F58" s="9"/>
      <c r="G58" s="48">
        <f>IF(C58=C$72,Pesos!$M$4,0)*IF(COUNTIF(C$51:E$71,C58)=1,2,1)</f>
        <v>1.5</v>
      </c>
      <c r="H58" s="64" t="str">
        <f>VLOOKUP($B58,Form_Playoff1aFase!$C$1:$AQ$44,11,FALSE)</f>
        <v>Juventus</v>
      </c>
      <c r="I58" s="61"/>
      <c r="J58" s="62"/>
      <c r="K58" s="9"/>
      <c r="L58" s="48">
        <f>IF(H58=H$72,Pesos!$M$4,0)*IF(COUNTIF(H$51:J$71,H58)=1,2,1)</f>
        <v>0</v>
      </c>
      <c r="M58" s="64" t="str">
        <f>VLOOKUP($B58,Form_Playoff1aFase!$C$1:$AQ$44,16,FALSE)</f>
        <v>Real Madrid</v>
      </c>
      <c r="N58" s="61"/>
      <c r="O58" s="62"/>
      <c r="P58" s="9"/>
      <c r="Q58" s="48">
        <f>IF(M58=M$72,Pesos!$M$4,0)*IF(COUNTIF(M$51:O$71,M58)=1,2,1)</f>
        <v>1.5</v>
      </c>
      <c r="R58" s="64" t="str">
        <f>VLOOKUP($B58,Form_Playoff1aFase!$C$1:$AQ$44,21,FALSE)</f>
        <v>Borussia Dortmund</v>
      </c>
      <c r="S58" s="61"/>
      <c r="T58" s="62"/>
      <c r="U58" s="9"/>
      <c r="V58" s="48">
        <f>IF(R58=R$72,Pesos!$M$4,0)*IF(COUNTIF(R$51:T$71,R58)=1,2,1)</f>
        <v>0</v>
      </c>
      <c r="W58" s="64" t="str">
        <f>VLOOKUP($B58,Form_Playoff1aFase!$C$1:$AQ$44,26,FALSE)</f>
        <v>Newcastle</v>
      </c>
      <c r="X58" s="61"/>
      <c r="Y58" s="62"/>
      <c r="Z58" s="9"/>
      <c r="AA58" s="48">
        <f>IF(W58=W$72,Pesos!$M$4,0)*IF(COUNTIF(W$51:Y$71,W58)=1,2,1)</f>
        <v>1.5</v>
      </c>
      <c r="AB58" s="64" t="str">
        <f>VLOOKUP($B58,Form_Playoff1aFase!$C$1:$AQ$44,31,FALSE)</f>
        <v>Atlético de Madrid</v>
      </c>
      <c r="AC58" s="61"/>
      <c r="AD58" s="62"/>
      <c r="AE58" s="9"/>
      <c r="AF58" s="48">
        <f>IF(AB58=AB$72,Pesos!$M$4,0)*IF(COUNTIF(AB$51:AD$71,AB58)=1,2,1)</f>
        <v>1.5</v>
      </c>
      <c r="AG58" s="64" t="str">
        <f>VLOOKUP($B58,Form_Playoff1aFase!$C$1:$AQ$44,36,FALSE)</f>
        <v>Internazionale</v>
      </c>
      <c r="AH58" s="61"/>
      <c r="AI58" s="62"/>
      <c r="AJ58" s="9"/>
      <c r="AK58" s="48">
        <f>IF(AG58=AG$72,Pesos!$M$4,0)*IF(COUNTIF(AG$51:AI$71,AG58)=1,2,1)</f>
        <v>0</v>
      </c>
      <c r="AL58" s="64" t="str">
        <f>VLOOKUP($B58,Form_Playoff1aFase!$C$1:$AQ$44,41,FALSE)</f>
        <v>Bayer Leverkusen</v>
      </c>
      <c r="AM58" s="61"/>
      <c r="AN58" s="62"/>
      <c r="AO58" s="47"/>
      <c r="AP58" s="48">
        <f>IF(AL58=AL$72,Pesos!$M$4,0)*IF(COUNTIF(AL$51:AN$71,AL58)=1,2,1)</f>
        <v>1.5</v>
      </c>
      <c r="AQ58" s="41"/>
      <c r="AR58" s="41">
        <f t="shared" si="19"/>
        <v>5</v>
      </c>
    </row>
    <row r="59" ht="14.25" customHeight="1">
      <c r="A59" s="41"/>
      <c r="B59" s="51" t="s">
        <v>4</v>
      </c>
      <c r="C59" s="64" t="str">
        <f>VLOOKUP($B59,Form_Playoff1aFase!$C$1:$AQ$44,6,FALSE)</f>
        <v>Paris Saint-Germain</v>
      </c>
      <c r="D59" s="61"/>
      <c r="E59" s="62"/>
      <c r="F59" s="9"/>
      <c r="G59" s="48">
        <f>IF(C59=C$72,Pesos!$M$4,0)*IF(COUNTIF(C$51:E$71,C59)=1,2,1)</f>
        <v>1.5</v>
      </c>
      <c r="H59" s="64" t="str">
        <f>VLOOKUP($B59,Form_Playoff1aFase!$C$1:$AQ$44,11,FALSE)</f>
        <v>Galatasaray</v>
      </c>
      <c r="I59" s="61"/>
      <c r="J59" s="62"/>
      <c r="K59" s="9"/>
      <c r="L59" s="48">
        <f>IF(H59=H$72,Pesos!$M$4,0)*IF(COUNTIF(H$51:J$71,H59)=1,2,1)</f>
        <v>1.5</v>
      </c>
      <c r="M59" s="64" t="str">
        <f>VLOOKUP($B59,Form_Playoff1aFase!$C$1:$AQ$44,16,FALSE)</f>
        <v>Real Madrid</v>
      </c>
      <c r="N59" s="61"/>
      <c r="O59" s="62"/>
      <c r="P59" s="9"/>
      <c r="Q59" s="48">
        <f>IF(M59=M$72,Pesos!$M$4,0)*IF(COUNTIF(M$51:O$71,M59)=1,2,1)</f>
        <v>1.5</v>
      </c>
      <c r="R59" s="64" t="str">
        <f>VLOOKUP($B59,Form_Playoff1aFase!$C$1:$AQ$44,21,FALSE)</f>
        <v>Borussia Dortmund</v>
      </c>
      <c r="S59" s="61"/>
      <c r="T59" s="62"/>
      <c r="U59" s="9"/>
      <c r="V59" s="48">
        <f>IF(R59=R$72,Pesos!$M$4,0)*IF(COUNTIF(R$51:T$71,R59)=1,2,1)</f>
        <v>0</v>
      </c>
      <c r="W59" s="64" t="str">
        <f>VLOOKUP($B59,Form_Playoff1aFase!$C$1:$AQ$44,26,FALSE)</f>
        <v>Newcastle</v>
      </c>
      <c r="X59" s="61"/>
      <c r="Y59" s="62"/>
      <c r="Z59" s="9"/>
      <c r="AA59" s="48">
        <f>IF(W59=W$72,Pesos!$M$4,0)*IF(COUNTIF(W$51:Y$71,W59)=1,2,1)</f>
        <v>1.5</v>
      </c>
      <c r="AB59" s="64" t="str">
        <f>VLOOKUP($B59,Form_Playoff1aFase!$C$1:$AQ$44,31,FALSE)</f>
        <v>Atlético de Madrid</v>
      </c>
      <c r="AC59" s="61"/>
      <c r="AD59" s="62"/>
      <c r="AE59" s="9"/>
      <c r="AF59" s="48">
        <f>IF(AB59=AB$72,Pesos!$M$4,0)*IF(COUNTIF(AB$51:AD$71,AB59)=1,2,1)</f>
        <v>1.5</v>
      </c>
      <c r="AG59" s="64" t="str">
        <f>VLOOKUP($B59,Form_Playoff1aFase!$C$1:$AQ$44,36,FALSE)</f>
        <v>Internazionale</v>
      </c>
      <c r="AH59" s="61"/>
      <c r="AI59" s="62"/>
      <c r="AJ59" s="9"/>
      <c r="AK59" s="48">
        <f>IF(AG59=AG$72,Pesos!$M$4,0)*IF(COUNTIF(AG$51:AI$71,AG59)=1,2,1)</f>
        <v>0</v>
      </c>
      <c r="AL59" s="64" t="str">
        <f>VLOOKUP($B59,Form_Playoff1aFase!$C$1:$AQ$44,41,FALSE)</f>
        <v>Bayer Leverkusen</v>
      </c>
      <c r="AM59" s="61"/>
      <c r="AN59" s="62"/>
      <c r="AO59" s="47"/>
      <c r="AP59" s="48">
        <f>IF(AL59=AL$72,Pesos!$M$4,0)*IF(COUNTIF(AL$51:AN$71,AL59)=1,2,1)</f>
        <v>1.5</v>
      </c>
      <c r="AQ59" s="41"/>
      <c r="AR59" s="41">
        <f t="shared" si="19"/>
        <v>6</v>
      </c>
    </row>
    <row r="60" ht="14.25" customHeight="1">
      <c r="A60" s="41"/>
      <c r="B60" s="51" t="s">
        <v>18</v>
      </c>
      <c r="C60" s="64" t="str">
        <f>VLOOKUP($B60,Form_Playoff1aFase!$C$1:$AQ$44,6,FALSE)</f>
        <v>Paris Saint-Germain</v>
      </c>
      <c r="D60" s="61"/>
      <c r="E60" s="62"/>
      <c r="F60" s="9"/>
      <c r="G60" s="48">
        <f>IF(C60=C$72,Pesos!$M$4,0)*IF(COUNTIF(C$51:E$71,C60)=1,2,1)</f>
        <v>1.5</v>
      </c>
      <c r="H60" s="64" t="str">
        <f>VLOOKUP($B60,Form_Playoff1aFase!$C$1:$AQ$44,11,FALSE)</f>
        <v>Juventus</v>
      </c>
      <c r="I60" s="61"/>
      <c r="J60" s="62"/>
      <c r="K60" s="9"/>
      <c r="L60" s="48">
        <f>IF(H60=H$72,Pesos!$M$4,0)*IF(COUNTIF(H$51:J$71,H60)=1,2,1)</f>
        <v>0</v>
      </c>
      <c r="M60" s="64" t="str">
        <f>VLOOKUP($B60,Form_Playoff1aFase!$C$1:$AQ$44,16,FALSE)</f>
        <v>Real Madrid</v>
      </c>
      <c r="N60" s="61"/>
      <c r="O60" s="62"/>
      <c r="P60" s="9"/>
      <c r="Q60" s="48">
        <f>IF(M60=M$72,Pesos!$M$4,0)*IF(COUNTIF(M$51:O$71,M60)=1,2,1)</f>
        <v>1.5</v>
      </c>
      <c r="R60" s="64" t="str">
        <f>VLOOKUP($B60,Form_Playoff1aFase!$C$1:$AQ$44,21,FALSE)</f>
        <v>Borussia Dortmund</v>
      </c>
      <c r="S60" s="61"/>
      <c r="T60" s="62"/>
      <c r="U60" s="9"/>
      <c r="V60" s="48">
        <f>IF(R60=R$72,Pesos!$M$4,0)*IF(COUNTIF(R$51:T$71,R60)=1,2,1)</f>
        <v>0</v>
      </c>
      <c r="W60" s="64" t="str">
        <f>VLOOKUP($B60,Form_Playoff1aFase!$C$1:$AQ$44,26,FALSE)</f>
        <v>Newcastle</v>
      </c>
      <c r="X60" s="61"/>
      <c r="Y60" s="62"/>
      <c r="Z60" s="9"/>
      <c r="AA60" s="48">
        <f>IF(W60=W$72,Pesos!$M$4,0)*IF(COUNTIF(W$51:Y$71,W60)=1,2,1)</f>
        <v>1.5</v>
      </c>
      <c r="AB60" s="64" t="str">
        <f>VLOOKUP($B60,Form_Playoff1aFase!$C$1:$AQ$44,31,FALSE)</f>
        <v>Atlético de Madrid</v>
      </c>
      <c r="AC60" s="61"/>
      <c r="AD60" s="62"/>
      <c r="AE60" s="9"/>
      <c r="AF60" s="48">
        <f>IF(AB60=AB$72,Pesos!$M$4,0)*IF(COUNTIF(AB$51:AD$71,AB60)=1,2,1)</f>
        <v>1.5</v>
      </c>
      <c r="AG60" s="64" t="str">
        <f>VLOOKUP($B60,Form_Playoff1aFase!$C$1:$AQ$44,36,FALSE)</f>
        <v>Internazionale</v>
      </c>
      <c r="AH60" s="61"/>
      <c r="AI60" s="62"/>
      <c r="AJ60" s="9"/>
      <c r="AK60" s="48">
        <f>IF(AG60=AG$72,Pesos!$M$4,0)*IF(COUNTIF(AG$51:AI$71,AG60)=1,2,1)</f>
        <v>0</v>
      </c>
      <c r="AL60" s="64" t="str">
        <f>VLOOKUP($B60,Form_Playoff1aFase!$C$1:$AQ$44,41,FALSE)</f>
        <v>Bayer Leverkusen</v>
      </c>
      <c r="AM60" s="61"/>
      <c r="AN60" s="62"/>
      <c r="AO60" s="9"/>
      <c r="AP60" s="48">
        <f>IF(AL60=AL$72,Pesos!$M$4,0)*IF(COUNTIF(AL$51:AN$71,AL60)=1,2,1)</f>
        <v>1.5</v>
      </c>
      <c r="AQ60" s="41"/>
      <c r="AR60" s="41">
        <f t="shared" si="19"/>
        <v>5</v>
      </c>
    </row>
    <row r="61" ht="14.25" customHeight="1">
      <c r="A61" s="41"/>
      <c r="B61" s="51" t="s">
        <v>2</v>
      </c>
      <c r="C61" s="64" t="str">
        <f>VLOOKUP($B61,Form_Playoff1aFase!$C$1:$AQ$44,6,FALSE)</f>
        <v>Paris Saint-Germain</v>
      </c>
      <c r="D61" s="61"/>
      <c r="E61" s="62"/>
      <c r="F61" s="9"/>
      <c r="G61" s="48">
        <f>IF(C61=C$72,Pesos!$M$4,0)*IF(COUNTIF(C$51:E$71,C61)=1,2,1)</f>
        <v>1.5</v>
      </c>
      <c r="H61" s="64" t="str">
        <f>VLOOKUP($B61,Form_Playoff1aFase!$C$1:$AQ$44,11,FALSE)</f>
        <v>Juventus</v>
      </c>
      <c r="I61" s="61"/>
      <c r="J61" s="62"/>
      <c r="K61" s="9"/>
      <c r="L61" s="48">
        <f>IF(H61=H$72,Pesos!$M$4,0)*IF(COUNTIF(H$51:J$71,H61)=1,2,1)</f>
        <v>0</v>
      </c>
      <c r="M61" s="64" t="str">
        <f>VLOOKUP($B61,Form_Playoff1aFase!$C$1:$AQ$44,16,FALSE)</f>
        <v>Real Madrid</v>
      </c>
      <c r="N61" s="61"/>
      <c r="O61" s="62"/>
      <c r="P61" s="9"/>
      <c r="Q61" s="48">
        <f>IF(M61=M$72,Pesos!$M$4,0)*IF(COUNTIF(M$51:O$71,M61)=1,2,1)</f>
        <v>1.5</v>
      </c>
      <c r="R61" s="64" t="str">
        <f>VLOOKUP($B61,Form_Playoff1aFase!$C$1:$AQ$44,21,FALSE)</f>
        <v>Atalanta</v>
      </c>
      <c r="S61" s="61"/>
      <c r="T61" s="62"/>
      <c r="U61" s="9"/>
      <c r="V61" s="48">
        <f>IF(R61=R$72,Pesos!$M$4,0)*IF(COUNTIF(R$51:T$71,R61)=1,2,1)</f>
        <v>1.5</v>
      </c>
      <c r="W61" s="64" t="str">
        <f>VLOOKUP($B61,Form_Playoff1aFase!$C$1:$AQ$44,26,FALSE)</f>
        <v>Newcastle</v>
      </c>
      <c r="X61" s="61"/>
      <c r="Y61" s="62"/>
      <c r="Z61" s="9"/>
      <c r="AA61" s="48">
        <f>IF(W61=W$72,Pesos!$M$4,0)*IF(COUNTIF(W$51:Y$71,W61)=1,2,1)</f>
        <v>1.5</v>
      </c>
      <c r="AB61" s="64" t="str">
        <f>VLOOKUP($B61,Form_Playoff1aFase!$C$1:$AQ$44,31,FALSE)</f>
        <v>Atlético de Madrid</v>
      </c>
      <c r="AC61" s="61"/>
      <c r="AD61" s="62"/>
      <c r="AE61" s="9"/>
      <c r="AF61" s="48">
        <f>IF(AB61=AB$72,Pesos!$M$4,0)*IF(COUNTIF(AB$51:AD$71,AB61)=1,2,1)</f>
        <v>1.5</v>
      </c>
      <c r="AG61" s="64" t="str">
        <f>VLOOKUP($B61,Form_Playoff1aFase!$C$1:$AQ$44,36,FALSE)</f>
        <v>Internazionale</v>
      </c>
      <c r="AH61" s="61"/>
      <c r="AI61" s="62"/>
      <c r="AJ61" s="9"/>
      <c r="AK61" s="48">
        <f>IF(AG61=AG$72,Pesos!$M$4,0)*IF(COUNTIF(AG$51:AI$71,AG61)=1,2,1)</f>
        <v>0</v>
      </c>
      <c r="AL61" s="64" t="str">
        <f>VLOOKUP($B61,Form_Playoff1aFase!$C$1:$AQ$44,41,FALSE)</f>
        <v>Bayer Leverkusen</v>
      </c>
      <c r="AM61" s="61"/>
      <c r="AN61" s="62"/>
      <c r="AO61" s="9"/>
      <c r="AP61" s="48">
        <f>IF(AL61=AL$72,Pesos!$M$4,0)*IF(COUNTIF(AL$51:AN$71,AL61)=1,2,1)</f>
        <v>1.5</v>
      </c>
      <c r="AQ61" s="41"/>
      <c r="AR61" s="41">
        <f t="shared" si="19"/>
        <v>6</v>
      </c>
    </row>
    <row r="62" ht="14.25" customHeight="1">
      <c r="A62" s="41"/>
      <c r="B62" s="51" t="s">
        <v>15</v>
      </c>
      <c r="C62" s="64" t="str">
        <f>VLOOKUP($B62,Form_Playoff1aFase!$C$1:$AQ$44,6,FALSE)</f>
        <v>Paris Saint-Germain</v>
      </c>
      <c r="D62" s="61"/>
      <c r="E62" s="62"/>
      <c r="F62" s="9"/>
      <c r="G62" s="48">
        <f>IF(C62=C$72,Pesos!$M$4,0)*IF(COUNTIF(C$51:E$71,C62)=1,2,1)</f>
        <v>1.5</v>
      </c>
      <c r="H62" s="64" t="str">
        <f>VLOOKUP($B62,Form_Playoff1aFase!$C$1:$AQ$44,11,FALSE)</f>
        <v>Juventus</v>
      </c>
      <c r="I62" s="61"/>
      <c r="J62" s="62"/>
      <c r="K62" s="9"/>
      <c r="L62" s="48">
        <f>IF(H62=H$72,Pesos!$M$4,0)*IF(COUNTIF(H$51:J$71,H62)=1,2,1)</f>
        <v>0</v>
      </c>
      <c r="M62" s="64" t="str">
        <f>VLOOKUP($B62,Form_Playoff1aFase!$C$1:$AQ$44,16,FALSE)</f>
        <v>Real Madrid</v>
      </c>
      <c r="N62" s="61"/>
      <c r="O62" s="62"/>
      <c r="P62" s="9"/>
      <c r="Q62" s="48">
        <f>IF(M62=M$72,Pesos!$M$4,0)*IF(COUNTIF(M$51:O$71,M62)=1,2,1)</f>
        <v>1.5</v>
      </c>
      <c r="R62" s="64" t="str">
        <f>VLOOKUP($B62,Form_Playoff1aFase!$C$1:$AQ$44,21,FALSE)</f>
        <v>Borussia Dortmund</v>
      </c>
      <c r="S62" s="61"/>
      <c r="T62" s="62"/>
      <c r="U62" s="9"/>
      <c r="V62" s="48">
        <f>IF(R62=R$72,Pesos!$M$4,0)*IF(COUNTIF(R$51:T$71,R62)=1,2,1)</f>
        <v>0</v>
      </c>
      <c r="W62" s="64" t="str">
        <f>VLOOKUP($B62,Form_Playoff1aFase!$C$1:$AQ$44,26,FALSE)</f>
        <v>Newcastle</v>
      </c>
      <c r="X62" s="61"/>
      <c r="Y62" s="62"/>
      <c r="Z62" s="9"/>
      <c r="AA62" s="48">
        <f>IF(W62=W$72,Pesos!$M$4,0)*IF(COUNTIF(W$51:Y$71,W62)=1,2,1)</f>
        <v>1.5</v>
      </c>
      <c r="AB62" s="64" t="str">
        <f>VLOOKUP($B62,Form_Playoff1aFase!$C$1:$AQ$44,31,FALSE)</f>
        <v>Club Brugge</v>
      </c>
      <c r="AC62" s="61"/>
      <c r="AD62" s="62"/>
      <c r="AE62" s="9"/>
      <c r="AF62" s="48">
        <f>IF(AB62=AB$72,Pesos!$M$4,0)*IF(COUNTIF(AB$51:AD$71,AB62)=1,2,1)</f>
        <v>0</v>
      </c>
      <c r="AG62" s="64" t="str">
        <f>VLOOKUP($B62,Form_Playoff1aFase!$C$1:$AQ$44,36,FALSE)</f>
        <v>Internazionale</v>
      </c>
      <c r="AH62" s="61"/>
      <c r="AI62" s="62"/>
      <c r="AJ62" s="9"/>
      <c r="AK62" s="48">
        <f>IF(AG62=AG$72,Pesos!$M$4,0)*IF(COUNTIF(AG$51:AI$71,AG62)=1,2,1)</f>
        <v>0</v>
      </c>
      <c r="AL62" s="64" t="str">
        <f>VLOOKUP($B62,Form_Playoff1aFase!$C$1:$AQ$44,41,FALSE)</f>
        <v>Bayer Leverkusen</v>
      </c>
      <c r="AM62" s="61"/>
      <c r="AN62" s="62"/>
      <c r="AO62" s="47"/>
      <c r="AP62" s="48">
        <f>IF(AL62=AL$72,Pesos!$M$4,0)*IF(COUNTIF(AL$51:AN$71,AL62)=1,2,1)</f>
        <v>1.5</v>
      </c>
      <c r="AQ62" s="41"/>
      <c r="AR62" s="41">
        <f t="shared" si="19"/>
        <v>4</v>
      </c>
    </row>
    <row r="63" ht="14.25" customHeight="1">
      <c r="A63" s="41"/>
      <c r="B63" s="51" t="s">
        <v>12</v>
      </c>
      <c r="C63" s="64" t="str">
        <f>VLOOKUP($B63,Form_Playoff1aFase!$C$1:$AQ$44,6,FALSE)</f>
        <v>Paris Saint-Germain</v>
      </c>
      <c r="D63" s="61"/>
      <c r="E63" s="62"/>
      <c r="F63" s="9"/>
      <c r="G63" s="48">
        <f>IF(C63=C$72,Pesos!$M$4,0)*IF(COUNTIF(C$51:E$71,C63)=1,2,1)</f>
        <v>1.5</v>
      </c>
      <c r="H63" s="64" t="str">
        <f>VLOOKUP($B63,Form_Playoff1aFase!$C$1:$AQ$44,11,FALSE)</f>
        <v>Juventus</v>
      </c>
      <c r="I63" s="61"/>
      <c r="J63" s="62"/>
      <c r="K63" s="9"/>
      <c r="L63" s="48">
        <f>IF(H63=H$72,Pesos!$M$4,0)*IF(COUNTIF(H$51:J$71,H63)=1,2,1)</f>
        <v>0</v>
      </c>
      <c r="M63" s="64" t="str">
        <f>VLOOKUP($B63,Form_Playoff1aFase!$C$1:$AQ$44,16,FALSE)</f>
        <v>Real Madrid</v>
      </c>
      <c r="N63" s="61"/>
      <c r="O63" s="62"/>
      <c r="P63" s="9"/>
      <c r="Q63" s="48">
        <f>IF(M63=M$72,Pesos!$M$4,0)*IF(COUNTIF(M$51:O$71,M63)=1,2,1)</f>
        <v>1.5</v>
      </c>
      <c r="R63" s="64" t="str">
        <f>VLOOKUP($B63,Form_Playoff1aFase!$C$1:$AQ$44,21,FALSE)</f>
        <v>Borussia Dortmund</v>
      </c>
      <c r="S63" s="61"/>
      <c r="T63" s="62"/>
      <c r="U63" s="9"/>
      <c r="V63" s="48">
        <f>IF(R63=R$72,Pesos!$M$4,0)*IF(COUNTIF(R$51:T$71,R63)=1,2,1)</f>
        <v>0</v>
      </c>
      <c r="W63" s="64" t="str">
        <f>VLOOKUP($B63,Form_Playoff1aFase!$C$1:$AQ$44,26,FALSE)</f>
        <v>Newcastle</v>
      </c>
      <c r="X63" s="61"/>
      <c r="Y63" s="62"/>
      <c r="Z63" s="9"/>
      <c r="AA63" s="48">
        <f>IF(W63=W$72,Pesos!$M$4,0)*IF(COUNTIF(W$51:Y$71,W63)=1,2,1)</f>
        <v>1.5</v>
      </c>
      <c r="AB63" s="64" t="str">
        <f>VLOOKUP($B63,Form_Playoff1aFase!$C$1:$AQ$44,31,FALSE)</f>
        <v>Atlético de Madrid</v>
      </c>
      <c r="AC63" s="61"/>
      <c r="AD63" s="62"/>
      <c r="AE63" s="9"/>
      <c r="AF63" s="48">
        <f>IF(AB63=AB$72,Pesos!$M$4,0)*IF(COUNTIF(AB$51:AD$71,AB63)=1,2,1)</f>
        <v>1.5</v>
      </c>
      <c r="AG63" s="64" t="str">
        <f>VLOOKUP($B63,Form_Playoff1aFase!$C$1:$AQ$44,36,FALSE)</f>
        <v>Internazionale</v>
      </c>
      <c r="AH63" s="61"/>
      <c r="AI63" s="62"/>
      <c r="AJ63" s="9"/>
      <c r="AK63" s="48">
        <f>IF(AG63=AG$72,Pesos!$M$4,0)*IF(COUNTIF(AG$51:AI$71,AG63)=1,2,1)</f>
        <v>0</v>
      </c>
      <c r="AL63" s="64" t="str">
        <f>VLOOKUP($B63,Form_Playoff1aFase!$C$1:$AQ$44,41,FALSE)</f>
        <v>Bayer Leverkusen</v>
      </c>
      <c r="AM63" s="61"/>
      <c r="AN63" s="62"/>
      <c r="AO63" s="47"/>
      <c r="AP63" s="48">
        <f>IF(AL63=AL$72,Pesos!$M$4,0)*IF(COUNTIF(AL$51:AN$71,AL63)=1,2,1)</f>
        <v>1.5</v>
      </c>
      <c r="AQ63" s="41"/>
      <c r="AR63" s="41">
        <f t="shared" si="19"/>
        <v>5</v>
      </c>
    </row>
    <row r="64" ht="14.25" customHeight="1">
      <c r="A64" s="41"/>
      <c r="B64" s="51" t="s">
        <v>8</v>
      </c>
      <c r="C64" s="64" t="str">
        <f>VLOOKUP($B64,Form_Playoff1aFase!$C$1:$AQ$44,6,FALSE)</f>
        <v>Paris Saint-Germain</v>
      </c>
      <c r="D64" s="61"/>
      <c r="E64" s="62"/>
      <c r="F64" s="9"/>
      <c r="G64" s="48">
        <f>IF(C64=C$72,Pesos!$M$4,0)*IF(COUNTIF(C$51:E$71,C64)=1,2,1)</f>
        <v>1.5</v>
      </c>
      <c r="H64" s="64" t="str">
        <f>VLOOKUP($B64,Form_Playoff1aFase!$C$1:$AQ$44,11,FALSE)</f>
        <v>Juventus</v>
      </c>
      <c r="I64" s="61"/>
      <c r="J64" s="62"/>
      <c r="K64" s="9"/>
      <c r="L64" s="48">
        <f>IF(H64=H$72,Pesos!$M$4,0)*IF(COUNTIF(H$51:J$71,H64)=1,2,1)</f>
        <v>0</v>
      </c>
      <c r="M64" s="64" t="str">
        <f>VLOOKUP($B64,Form_Playoff1aFase!$C$1:$AQ$44,16,FALSE)</f>
        <v>Real Madrid</v>
      </c>
      <c r="N64" s="61"/>
      <c r="O64" s="62"/>
      <c r="P64" s="9"/>
      <c r="Q64" s="48">
        <f>IF(M64=M$72,Pesos!$M$4,0)*IF(COUNTIF(M$51:O$71,M64)=1,2,1)</f>
        <v>1.5</v>
      </c>
      <c r="R64" s="64" t="str">
        <f>VLOOKUP($B64,Form_Playoff1aFase!$C$1:$AQ$44,21,FALSE)</f>
        <v>Borussia Dortmund</v>
      </c>
      <c r="S64" s="61"/>
      <c r="T64" s="62"/>
      <c r="U64" s="9"/>
      <c r="V64" s="48">
        <f>IF(R64=R$72,Pesos!$M$4,0)*IF(COUNTIF(R$51:T$71,R64)=1,2,1)</f>
        <v>0</v>
      </c>
      <c r="W64" s="64" t="str">
        <f>VLOOKUP($B64,Form_Playoff1aFase!$C$1:$AQ$44,26,FALSE)</f>
        <v>Newcastle</v>
      </c>
      <c r="X64" s="61"/>
      <c r="Y64" s="62"/>
      <c r="Z64" s="9"/>
      <c r="AA64" s="48">
        <f>IF(W64=W$72,Pesos!$M$4,0)*IF(COUNTIF(W$51:Y$71,W64)=1,2,1)</f>
        <v>1.5</v>
      </c>
      <c r="AB64" s="64" t="str">
        <f>VLOOKUP($B64,Form_Playoff1aFase!$C$1:$AQ$44,31,FALSE)</f>
        <v>Atlético de Madrid</v>
      </c>
      <c r="AC64" s="61"/>
      <c r="AD64" s="62"/>
      <c r="AE64" s="9"/>
      <c r="AF64" s="48">
        <f>IF(AB64=AB$72,Pesos!$M$4,0)*IF(COUNTIF(AB$51:AD$71,AB64)=1,2,1)</f>
        <v>1.5</v>
      </c>
      <c r="AG64" s="64" t="str">
        <f>VLOOKUP($B64,Form_Playoff1aFase!$C$1:$AQ$44,36,FALSE)</f>
        <v>Internazionale</v>
      </c>
      <c r="AH64" s="61"/>
      <c r="AI64" s="62"/>
      <c r="AJ64" s="9"/>
      <c r="AK64" s="48">
        <f>IF(AG64=AG$72,Pesos!$M$4,0)*IF(COUNTIF(AG$51:AI$71,AG64)=1,2,1)</f>
        <v>0</v>
      </c>
      <c r="AL64" s="64" t="str">
        <f>VLOOKUP($B64,Form_Playoff1aFase!$C$1:$AQ$44,41,FALSE)</f>
        <v>Bayer Leverkusen</v>
      </c>
      <c r="AM64" s="61"/>
      <c r="AN64" s="62"/>
      <c r="AO64" s="9"/>
      <c r="AP64" s="48">
        <f>IF(AL64=AL$72,Pesos!$M$4,0)*IF(COUNTIF(AL$51:AN$71,AL64)=1,2,1)</f>
        <v>1.5</v>
      </c>
      <c r="AQ64" s="41"/>
      <c r="AR64" s="41">
        <f t="shared" si="19"/>
        <v>5</v>
      </c>
    </row>
    <row r="65" ht="14.25" customHeight="1">
      <c r="A65" s="41"/>
      <c r="B65" s="51" t="s">
        <v>16</v>
      </c>
      <c r="C65" s="64" t="str">
        <f>VLOOKUP($B65,Form_Playoff1aFase!$C$1:$AQ$44,6,FALSE)</f>
        <v>Paris Saint-Germain</v>
      </c>
      <c r="D65" s="61"/>
      <c r="E65" s="62"/>
      <c r="F65" s="9"/>
      <c r="G65" s="48">
        <f>IF(C65=C$72,Pesos!$M$4,0)*IF(COUNTIF(C$51:E$71,C65)=1,2,1)</f>
        <v>1.5</v>
      </c>
      <c r="H65" s="64" t="str">
        <f>VLOOKUP($B65,Form_Playoff1aFase!$C$1:$AQ$44,11,FALSE)</f>
        <v>Juventus</v>
      </c>
      <c r="I65" s="61"/>
      <c r="J65" s="62"/>
      <c r="K65" s="9"/>
      <c r="L65" s="48">
        <f>IF(H65=H$72,Pesos!$M$4,0)*IF(COUNTIF(H$51:J$71,H65)=1,2,1)</f>
        <v>0</v>
      </c>
      <c r="M65" s="64" t="str">
        <f>VLOOKUP($B65,Form_Playoff1aFase!$C$1:$AQ$44,16,FALSE)</f>
        <v>Real Madrid</v>
      </c>
      <c r="N65" s="61"/>
      <c r="O65" s="62"/>
      <c r="P65" s="9"/>
      <c r="Q65" s="48">
        <f>IF(M65=M$72,Pesos!$M$4,0)*IF(COUNTIF(M$51:O$71,M65)=1,2,1)</f>
        <v>1.5</v>
      </c>
      <c r="R65" s="64" t="str">
        <f>VLOOKUP($B65,Form_Playoff1aFase!$C$1:$AQ$44,21,FALSE)</f>
        <v>Borussia Dortmund</v>
      </c>
      <c r="S65" s="61"/>
      <c r="T65" s="62"/>
      <c r="U65" s="9"/>
      <c r="V65" s="48">
        <f>IF(R65=R$72,Pesos!$M$4,0)*IF(COUNTIF(R$51:T$71,R65)=1,2,1)</f>
        <v>0</v>
      </c>
      <c r="W65" s="64" t="str">
        <f>VLOOKUP($B65,Form_Playoff1aFase!$C$1:$AQ$44,26,FALSE)</f>
        <v>Newcastle</v>
      </c>
      <c r="X65" s="61"/>
      <c r="Y65" s="62"/>
      <c r="Z65" s="9"/>
      <c r="AA65" s="48">
        <f>IF(W65=W$72,Pesos!$M$4,0)*IF(COUNTIF(W$51:Y$71,W65)=1,2,1)</f>
        <v>1.5</v>
      </c>
      <c r="AB65" s="64" t="str">
        <f>VLOOKUP($B65,Form_Playoff1aFase!$C$1:$AQ$44,31,FALSE)</f>
        <v>Atlético de Madrid</v>
      </c>
      <c r="AC65" s="61"/>
      <c r="AD65" s="62"/>
      <c r="AE65" s="9"/>
      <c r="AF65" s="48">
        <f>IF(AB65=AB$72,Pesos!$M$4,0)*IF(COUNTIF(AB$51:AD$71,AB65)=1,2,1)</f>
        <v>1.5</v>
      </c>
      <c r="AG65" s="64" t="str">
        <f>VLOOKUP($B65,Form_Playoff1aFase!$C$1:$AQ$44,36,FALSE)</f>
        <v>Internazionale</v>
      </c>
      <c r="AH65" s="61"/>
      <c r="AI65" s="62"/>
      <c r="AJ65" s="9"/>
      <c r="AK65" s="48">
        <f>IF(AG65=AG$72,Pesos!$M$4,0)*IF(COUNTIF(AG$51:AI$71,AG65)=1,2,1)</f>
        <v>0</v>
      </c>
      <c r="AL65" s="64" t="str">
        <f>VLOOKUP($B65,Form_Playoff1aFase!$C$1:$AQ$44,41,FALSE)</f>
        <v>Olympiacos</v>
      </c>
      <c r="AM65" s="61"/>
      <c r="AN65" s="62"/>
      <c r="AO65" s="47"/>
      <c r="AP65" s="48">
        <f>IF(AL65=AL$72,Pesos!$M$4,0)*IF(COUNTIF(AL$51:AN$71,AL65)=1,2,1)</f>
        <v>0</v>
      </c>
      <c r="AQ65" s="41"/>
      <c r="AR65" s="41">
        <f t="shared" si="19"/>
        <v>4</v>
      </c>
    </row>
    <row r="66" ht="14.25" customHeight="1">
      <c r="A66" s="41"/>
      <c r="B66" s="51" t="s">
        <v>11</v>
      </c>
      <c r="C66" s="64" t="str">
        <f>VLOOKUP($B66,Form_Playoff1aFase!$C$1:$AQ$44,6,FALSE)</f>
        <v>Paris Saint-Germain</v>
      </c>
      <c r="D66" s="61"/>
      <c r="E66" s="62"/>
      <c r="F66" s="9"/>
      <c r="G66" s="48">
        <f>IF(C66=C$72,Pesos!$M$4,0)*IF(COUNTIF(C$51:E$71,C66)=1,2,1)</f>
        <v>1.5</v>
      </c>
      <c r="H66" s="64" t="str">
        <f>VLOOKUP($B66,Form_Playoff1aFase!$C$1:$AQ$44,11,FALSE)</f>
        <v>Juventus</v>
      </c>
      <c r="I66" s="61"/>
      <c r="J66" s="62"/>
      <c r="K66" s="9"/>
      <c r="L66" s="48">
        <f>IF(H66=H$72,Pesos!$M$4,0)*IF(COUNTIF(H$51:J$71,H66)=1,2,1)</f>
        <v>0</v>
      </c>
      <c r="M66" s="64" t="str">
        <f>VLOOKUP($B66,Form_Playoff1aFase!$C$1:$AQ$44,16,FALSE)</f>
        <v>Benfica</v>
      </c>
      <c r="N66" s="61"/>
      <c r="O66" s="62"/>
      <c r="P66" s="9"/>
      <c r="Q66" s="48">
        <f>IF(M66=M$72,Pesos!$M$4,0)*IF(COUNTIF(M$51:O$71,M66)=1,2,1)</f>
        <v>0</v>
      </c>
      <c r="R66" s="64" t="str">
        <f>VLOOKUP($B66,Form_Playoff1aFase!$C$1:$AQ$44,21,FALSE)</f>
        <v>Atalanta</v>
      </c>
      <c r="S66" s="61"/>
      <c r="T66" s="62"/>
      <c r="U66" s="9"/>
      <c r="V66" s="48">
        <f>IF(R66=R$72,Pesos!$M$4,0)*IF(COUNTIF(R$51:T$71,R66)=1,2,1)</f>
        <v>1.5</v>
      </c>
      <c r="W66" s="64" t="str">
        <f>VLOOKUP($B66,Form_Playoff1aFase!$C$1:$AQ$44,26,FALSE)</f>
        <v>Newcastle</v>
      </c>
      <c r="X66" s="61"/>
      <c r="Y66" s="62"/>
      <c r="Z66" s="9"/>
      <c r="AA66" s="48">
        <f>IF(W66=W$72,Pesos!$M$4,0)*IF(COUNTIF(W$51:Y$71,W66)=1,2,1)</f>
        <v>1.5</v>
      </c>
      <c r="AB66" s="64" t="str">
        <f>VLOOKUP($B66,Form_Playoff1aFase!$C$1:$AQ$44,31,FALSE)</f>
        <v>Club Brugge</v>
      </c>
      <c r="AC66" s="61"/>
      <c r="AD66" s="62"/>
      <c r="AE66" s="9"/>
      <c r="AF66" s="48">
        <f>IF(AB66=AB$72,Pesos!$M$4,0)*IF(COUNTIF(AB$51:AD$71,AB66)=1,2,1)</f>
        <v>0</v>
      </c>
      <c r="AG66" s="64" t="str">
        <f>VLOOKUP($B66,Form_Playoff1aFase!$C$1:$AQ$44,36,FALSE)</f>
        <v>Internazionale</v>
      </c>
      <c r="AH66" s="61"/>
      <c r="AI66" s="62"/>
      <c r="AJ66" s="9"/>
      <c r="AK66" s="48">
        <f>IF(AG66=AG$72,Pesos!$M$4,0)*IF(COUNTIF(AG$51:AI$71,AG66)=1,2,1)</f>
        <v>0</v>
      </c>
      <c r="AL66" s="64" t="str">
        <f>VLOOKUP($B66,Form_Playoff1aFase!$C$1:$AQ$44,41,FALSE)</f>
        <v>Bayer Leverkusen</v>
      </c>
      <c r="AM66" s="61"/>
      <c r="AN66" s="62"/>
      <c r="AO66" s="47"/>
      <c r="AP66" s="48">
        <f>IF(AL66=AL$72,Pesos!$M$4,0)*IF(COUNTIF(AL$51:AN$71,AL66)=1,2,1)</f>
        <v>1.5</v>
      </c>
      <c r="AQ66" s="41"/>
      <c r="AR66" s="41">
        <f t="shared" si="19"/>
        <v>4</v>
      </c>
    </row>
    <row r="67" ht="14.25" customHeight="1">
      <c r="A67" s="41"/>
      <c r="B67" s="45" t="s">
        <v>7</v>
      </c>
      <c r="C67" s="64" t="str">
        <f>VLOOKUP($B67,Form_Playoff1aFase!$C$1:$AQ$44,6,FALSE)</f>
        <v>Paris Saint-Germain</v>
      </c>
      <c r="D67" s="61"/>
      <c r="E67" s="62"/>
      <c r="F67" s="9"/>
      <c r="G67" s="48">
        <f>IF(C67=C$72,Pesos!$M$4,0)*IF(COUNTIF(C$51:E$71,C67)=1,2,1)</f>
        <v>1.5</v>
      </c>
      <c r="H67" s="64" t="str">
        <f>VLOOKUP($B67,Form_Playoff1aFase!$C$1:$AQ$44,11,FALSE)</f>
        <v>Juventus</v>
      </c>
      <c r="I67" s="61"/>
      <c r="J67" s="62"/>
      <c r="K67" s="9"/>
      <c r="L67" s="48">
        <f>IF(H67=H$72,Pesos!$M$4,0)*IF(COUNTIF(H$51:J$71,H67)=1,2,1)</f>
        <v>0</v>
      </c>
      <c r="M67" s="64" t="str">
        <f>VLOOKUP($B67,Form_Playoff1aFase!$C$1:$AQ$44,16,FALSE)</f>
        <v>Real Madrid</v>
      </c>
      <c r="N67" s="61"/>
      <c r="O67" s="62"/>
      <c r="P67" s="9"/>
      <c r="Q67" s="48">
        <f>IF(M67=M$72,Pesos!$M$4,0)*IF(COUNTIF(M$51:O$71,M67)=1,2,1)</f>
        <v>1.5</v>
      </c>
      <c r="R67" s="64" t="str">
        <f>VLOOKUP($B67,Form_Playoff1aFase!$C$1:$AQ$44,21,FALSE)</f>
        <v>Borussia Dortmund</v>
      </c>
      <c r="S67" s="61"/>
      <c r="T67" s="62"/>
      <c r="U67" s="9"/>
      <c r="V67" s="48">
        <f>IF(R67=R$72,Pesos!$M$4,0)*IF(COUNTIF(R$51:T$71,R67)=1,2,1)</f>
        <v>0</v>
      </c>
      <c r="W67" s="64" t="str">
        <f>VLOOKUP($B67,Form_Playoff1aFase!$C$1:$AQ$44,26,FALSE)</f>
        <v>Newcastle</v>
      </c>
      <c r="X67" s="61"/>
      <c r="Y67" s="62"/>
      <c r="Z67" s="9"/>
      <c r="AA67" s="48">
        <f>IF(W67=W$72,Pesos!$M$4,0)*IF(COUNTIF(W$51:Y$71,W67)=1,2,1)</f>
        <v>1.5</v>
      </c>
      <c r="AB67" s="64" t="str">
        <f>VLOOKUP($B67,Form_Playoff1aFase!$C$1:$AQ$44,31,FALSE)</f>
        <v>Atlético de Madrid</v>
      </c>
      <c r="AC67" s="61"/>
      <c r="AD67" s="62"/>
      <c r="AE67" s="9"/>
      <c r="AF67" s="48">
        <f>IF(AB67=AB$72,Pesos!$M$4,0)*IF(COUNTIF(AB$51:AD$71,AB67)=1,2,1)</f>
        <v>1.5</v>
      </c>
      <c r="AG67" s="64" t="str">
        <f>VLOOKUP($B67,Form_Playoff1aFase!$C$1:$AQ$44,36,FALSE)</f>
        <v>Internazionale</v>
      </c>
      <c r="AH67" s="61"/>
      <c r="AI67" s="62"/>
      <c r="AJ67" s="9"/>
      <c r="AK67" s="48">
        <f>IF(AG67=AG$72,Pesos!$M$4,0)*IF(COUNTIF(AG$51:AI$71,AG67)=1,2,1)</f>
        <v>0</v>
      </c>
      <c r="AL67" s="64" t="str">
        <f>VLOOKUP($B67,Form_Playoff1aFase!$C$1:$AQ$44,41,FALSE)</f>
        <v>Bayer Leverkusen</v>
      </c>
      <c r="AM67" s="61"/>
      <c r="AN67" s="62"/>
      <c r="AO67" s="9"/>
      <c r="AP67" s="48">
        <f>IF(AL67=AL$72,Pesos!$M$4,0)*IF(COUNTIF(AL$51:AN$71,AL67)=1,2,1)</f>
        <v>1.5</v>
      </c>
      <c r="AQ67" s="41"/>
      <c r="AR67" s="41">
        <f t="shared" si="19"/>
        <v>5</v>
      </c>
    </row>
    <row r="68" ht="14.25" customHeight="1">
      <c r="A68" s="41"/>
      <c r="B68" s="65" t="s">
        <v>19</v>
      </c>
      <c r="C68" s="64" t="str">
        <f>VLOOKUP($B68,Form_Playoff1aFase!$C$1:$AQ$44,6,FALSE)</f>
        <v>Paris Saint-Germain</v>
      </c>
      <c r="D68" s="61"/>
      <c r="E68" s="62"/>
      <c r="F68" s="9"/>
      <c r="G68" s="48">
        <f>IF(C68=C$72,Pesos!$M$4,0)*IF(COUNTIF(C$51:E$71,C68)=1,2,1)</f>
        <v>1.5</v>
      </c>
      <c r="H68" s="64" t="str">
        <f>VLOOKUP($B68,Form_Playoff1aFase!$C$1:$AQ$44,11,FALSE)</f>
        <v>Juventus</v>
      </c>
      <c r="I68" s="61"/>
      <c r="J68" s="62"/>
      <c r="K68" s="9"/>
      <c r="L68" s="48">
        <f>IF(H68=H$72,Pesos!$M$4,0)*IF(COUNTIF(H$51:J$71,H68)=1,2,1)</f>
        <v>0</v>
      </c>
      <c r="M68" s="64" t="str">
        <f>VLOOKUP($B68,Form_Playoff1aFase!$C$1:$AQ$44,16,FALSE)</f>
        <v>Real Madrid</v>
      </c>
      <c r="N68" s="61"/>
      <c r="O68" s="62"/>
      <c r="P68" s="9"/>
      <c r="Q68" s="48">
        <f>IF(M68=M$72,Pesos!$M$4,0)*IF(COUNTIF(M$51:O$71,M68)=1,2,1)</f>
        <v>1.5</v>
      </c>
      <c r="R68" s="64" t="str">
        <f>VLOOKUP($B68,Form_Playoff1aFase!$C$1:$AQ$44,21,FALSE)</f>
        <v>Borussia Dortmund</v>
      </c>
      <c r="S68" s="61"/>
      <c r="T68" s="62"/>
      <c r="U68" s="9"/>
      <c r="V68" s="48">
        <f>IF(R68=R$72,Pesos!$M$4,0)*IF(COUNTIF(R$51:T$71,R68)=1,2,1)</f>
        <v>0</v>
      </c>
      <c r="W68" s="64" t="str">
        <f>VLOOKUP($B68,Form_Playoff1aFase!$C$1:$AQ$44,26,FALSE)</f>
        <v>Newcastle</v>
      </c>
      <c r="X68" s="61"/>
      <c r="Y68" s="62"/>
      <c r="Z68" s="9"/>
      <c r="AA68" s="48">
        <f>IF(W68=W$72,Pesos!$M$4,0)*IF(COUNTIF(W$51:Y$71,W68)=1,2,1)</f>
        <v>1.5</v>
      </c>
      <c r="AB68" s="64" t="str">
        <f>VLOOKUP($B68,Form_Playoff1aFase!$C$1:$AQ$44,31,FALSE)</f>
        <v>Club Brugge</v>
      </c>
      <c r="AC68" s="61"/>
      <c r="AD68" s="62"/>
      <c r="AE68" s="9"/>
      <c r="AF68" s="48">
        <f>IF(AB68=AB$72,Pesos!$M$4,0)*IF(COUNTIF(AB$51:AD$71,AB68)=1,2,1)</f>
        <v>0</v>
      </c>
      <c r="AG68" s="64" t="str">
        <f>VLOOKUP($B68,Form_Playoff1aFase!$C$1:$AQ$44,36,FALSE)</f>
        <v>Internazionale</v>
      </c>
      <c r="AH68" s="61"/>
      <c r="AI68" s="62"/>
      <c r="AJ68" s="9"/>
      <c r="AK68" s="48">
        <f>IF(AG68=AG$72,Pesos!$M$4,0)*IF(COUNTIF(AG$51:AI$71,AG68)=1,2,1)</f>
        <v>0</v>
      </c>
      <c r="AL68" s="64" t="str">
        <f>VLOOKUP($B68,Form_Playoff1aFase!$C$1:$AQ$44,41,FALSE)</f>
        <v>Olympiacos</v>
      </c>
      <c r="AM68" s="61"/>
      <c r="AN68" s="62"/>
      <c r="AO68" s="9"/>
      <c r="AP68" s="48">
        <f>IF(AL68=AL$72,Pesos!$M$4,0)*IF(COUNTIF(AL$51:AN$71,AL68)=1,2,1)</f>
        <v>0</v>
      </c>
      <c r="AQ68" s="41"/>
      <c r="AR68" s="41">
        <f t="shared" si="19"/>
        <v>3</v>
      </c>
    </row>
    <row r="69" ht="14.25" customHeight="1">
      <c r="A69" s="41"/>
      <c r="B69" s="65" t="s">
        <v>20</v>
      </c>
      <c r="C69" s="64" t="str">
        <f>VLOOKUP($B69,Form_Playoff1aFase!$C$1:$AQ$44,6,FALSE)</f>
        <v>Paris Saint-Germain</v>
      </c>
      <c r="D69" s="61"/>
      <c r="E69" s="62"/>
      <c r="F69" s="9"/>
      <c r="G69" s="48">
        <f>IF(C69=C$72,Pesos!$M$4,0)*IF(COUNTIF(C$51:E$71,C69)=1,2,1)</f>
        <v>1.5</v>
      </c>
      <c r="H69" s="64" t="str">
        <f>VLOOKUP($B69,Form_Playoff1aFase!$C$1:$AQ$44,11,FALSE)</f>
        <v>Juventus</v>
      </c>
      <c r="I69" s="61"/>
      <c r="J69" s="62"/>
      <c r="K69" s="9"/>
      <c r="L69" s="48">
        <f>IF(H69=H$72,Pesos!$M$4,0)*IF(COUNTIF(H$51:J$71,H69)=1,2,1)</f>
        <v>0</v>
      </c>
      <c r="M69" s="64" t="str">
        <f>VLOOKUP($B69,Form_Playoff1aFase!$C$1:$AQ$44,16,FALSE)</f>
        <v>Real Madrid</v>
      </c>
      <c r="N69" s="61"/>
      <c r="O69" s="62"/>
      <c r="P69" s="9"/>
      <c r="Q69" s="48">
        <f>IF(M69=M$72,Pesos!$M$4,0)*IF(COUNTIF(M$51:O$71,M69)=1,2,1)</f>
        <v>1.5</v>
      </c>
      <c r="R69" s="64" t="str">
        <f>VLOOKUP($B69,Form_Playoff1aFase!$C$1:$AQ$44,21,FALSE)</f>
        <v>Borussia Dortmund</v>
      </c>
      <c r="S69" s="61"/>
      <c r="T69" s="62"/>
      <c r="U69" s="9"/>
      <c r="V69" s="48">
        <f>IF(R69=R$72,Pesos!$M$4,0)*IF(COUNTIF(R$51:T$71,R69)=1,2,1)</f>
        <v>0</v>
      </c>
      <c r="W69" s="64" t="str">
        <f>VLOOKUP($B69,Form_Playoff1aFase!$C$1:$AQ$44,26,FALSE)</f>
        <v>Newcastle</v>
      </c>
      <c r="X69" s="61"/>
      <c r="Y69" s="62"/>
      <c r="Z69" s="9"/>
      <c r="AA69" s="48">
        <f>IF(W69=W$72,Pesos!$M$4,0)*IF(COUNTIF(W$51:Y$71,W69)=1,2,1)</f>
        <v>1.5</v>
      </c>
      <c r="AB69" s="64" t="str">
        <f>VLOOKUP($B69,Form_Playoff1aFase!$C$1:$AQ$44,31,FALSE)</f>
        <v>Atlético de Madrid</v>
      </c>
      <c r="AC69" s="61"/>
      <c r="AD69" s="62"/>
      <c r="AE69" s="9"/>
      <c r="AF69" s="48">
        <f>IF(AB69=AB$72,Pesos!$M$4,0)*IF(COUNTIF(AB$51:AD$71,AB69)=1,2,1)</f>
        <v>1.5</v>
      </c>
      <c r="AG69" s="64" t="str">
        <f>VLOOKUP($B69,Form_Playoff1aFase!$C$1:$AQ$44,36,FALSE)</f>
        <v>Internazionale</v>
      </c>
      <c r="AH69" s="61"/>
      <c r="AI69" s="62"/>
      <c r="AJ69" s="9"/>
      <c r="AK69" s="48">
        <f>IF(AG69=AG$72,Pesos!$M$4,0)*IF(COUNTIF(AG$51:AI$71,AG69)=1,2,1)</f>
        <v>0</v>
      </c>
      <c r="AL69" s="64" t="str">
        <f>VLOOKUP($B69,Form_Playoff1aFase!$C$1:$AQ$44,41,FALSE)</f>
        <v>Bayer Leverkusen</v>
      </c>
      <c r="AM69" s="61"/>
      <c r="AN69" s="62"/>
      <c r="AO69" s="9"/>
      <c r="AP69" s="48">
        <f>IF(AL69=AL$72,Pesos!$M$4,0)*IF(COUNTIF(AL$51:AN$71,AL69)=1,2,1)</f>
        <v>1.5</v>
      </c>
      <c r="AQ69" s="41"/>
      <c r="AR69" s="41">
        <f t="shared" si="19"/>
        <v>5</v>
      </c>
    </row>
    <row r="70" ht="14.25" customHeight="1">
      <c r="A70" s="41"/>
      <c r="B70" s="65" t="s">
        <v>21</v>
      </c>
      <c r="C70" s="64" t="str">
        <f>VLOOKUP($B70,Form_Playoff1aFase!$C$1:$AQ$44,6,FALSE)</f>
        <v>Paris Saint-Germain</v>
      </c>
      <c r="D70" s="61"/>
      <c r="E70" s="62"/>
      <c r="F70" s="9"/>
      <c r="G70" s="48">
        <f>IF(C70=C$72,Pesos!$M$4,0)*IF(COUNTIF(C$51:E$71,C70)=1,2,1)</f>
        <v>1.5</v>
      </c>
      <c r="H70" s="64" t="str">
        <f>VLOOKUP($B70,Form_Playoff1aFase!$C$1:$AQ$44,11,FALSE)</f>
        <v>Juventus</v>
      </c>
      <c r="I70" s="61"/>
      <c r="J70" s="62"/>
      <c r="K70" s="9"/>
      <c r="L70" s="48">
        <f>IF(H70=H$72,Pesos!$M$4,0)*IF(COUNTIF(H$51:J$71,H70)=1,2,1)</f>
        <v>0</v>
      </c>
      <c r="M70" s="64" t="str">
        <f>VLOOKUP($B70,Form_Playoff1aFase!$C$1:$AQ$44,16,FALSE)</f>
        <v>Real Madrid</v>
      </c>
      <c r="N70" s="61"/>
      <c r="O70" s="62"/>
      <c r="P70" s="9"/>
      <c r="Q70" s="48">
        <f>IF(M70=M$72,Pesos!$M$4,0)*IF(COUNTIF(M$51:O$71,M70)=1,2,1)</f>
        <v>1.5</v>
      </c>
      <c r="R70" s="64" t="str">
        <f>VLOOKUP($B70,Form_Playoff1aFase!$C$1:$AQ$44,21,FALSE)</f>
        <v>Borussia Dortmund</v>
      </c>
      <c r="S70" s="61"/>
      <c r="T70" s="62"/>
      <c r="U70" s="9"/>
      <c r="V70" s="48">
        <f>IF(R70=R$72,Pesos!$M$4,0)*IF(COUNTIF(R$51:T$71,R70)=1,2,1)</f>
        <v>0</v>
      </c>
      <c r="W70" s="64" t="str">
        <f>VLOOKUP($B70,Form_Playoff1aFase!$C$1:$AQ$44,26,FALSE)</f>
        <v>Newcastle</v>
      </c>
      <c r="X70" s="61"/>
      <c r="Y70" s="62"/>
      <c r="Z70" s="9"/>
      <c r="AA70" s="48">
        <f>IF(W70=W$72,Pesos!$M$4,0)*IF(COUNTIF(W$51:Y$71,W70)=1,2,1)</f>
        <v>1.5</v>
      </c>
      <c r="AB70" s="64" t="str">
        <f>VLOOKUP($B70,Form_Playoff1aFase!$C$1:$AQ$44,31,FALSE)</f>
        <v>Atlético de Madrid</v>
      </c>
      <c r="AC70" s="61"/>
      <c r="AD70" s="62"/>
      <c r="AE70" s="9"/>
      <c r="AF70" s="48">
        <f>IF(AB70=AB$72,Pesos!$M$4,0)*IF(COUNTIF(AB$51:AD$71,AB70)=1,2,1)</f>
        <v>1.5</v>
      </c>
      <c r="AG70" s="64" t="str">
        <f>VLOOKUP($B70,Form_Playoff1aFase!$C$1:$AQ$44,36,FALSE)</f>
        <v>Internazionale</v>
      </c>
      <c r="AH70" s="61"/>
      <c r="AI70" s="62"/>
      <c r="AJ70" s="9"/>
      <c r="AK70" s="48">
        <f>IF(AG70=AG$72,Pesos!$M$4,0)*IF(COUNTIF(AG$51:AI$71,AG70)=1,2,1)</f>
        <v>0</v>
      </c>
      <c r="AL70" s="64" t="str">
        <f>VLOOKUP($B70,Form_Playoff1aFase!$C$1:$AQ$44,41,FALSE)</f>
        <v>Bayer Leverkusen</v>
      </c>
      <c r="AM70" s="61"/>
      <c r="AN70" s="62"/>
      <c r="AO70" s="9"/>
      <c r="AP70" s="48">
        <f>IF(AL70=AL$72,Pesos!$M$4,0)*IF(COUNTIF(AL$51:AN$71,AL70)=1,2,1)</f>
        <v>1.5</v>
      </c>
      <c r="AQ70" s="41"/>
      <c r="AR70" s="41">
        <f t="shared" si="19"/>
        <v>5</v>
      </c>
    </row>
    <row r="71" ht="14.25" customHeight="1">
      <c r="A71" s="41"/>
      <c r="B71" s="65" t="s">
        <v>22</v>
      </c>
      <c r="C71" s="64" t="str">
        <f>VLOOKUP($B71,Form_Playoff1aFase!$C$1:$AQ$44,6,FALSE)</f>
        <v>Paris Saint-Germain</v>
      </c>
      <c r="D71" s="61"/>
      <c r="E71" s="62"/>
      <c r="F71" s="9"/>
      <c r="G71" s="48">
        <f>IF(C71=C$72,Pesos!$M$4,0)*IF(COUNTIF(C$51:E$71,C71)=1,2,1)</f>
        <v>1.5</v>
      </c>
      <c r="H71" s="64" t="str">
        <f>VLOOKUP($B71,Form_Playoff1aFase!$C$1:$AQ$44,11,FALSE)</f>
        <v>Juventus</v>
      </c>
      <c r="I71" s="61"/>
      <c r="J71" s="62"/>
      <c r="K71" s="9"/>
      <c r="L71" s="48">
        <f>IF(H71=H$72,Pesos!$M$4,0)*IF(COUNTIF(H$51:J$71,H71)=1,2,1)</f>
        <v>0</v>
      </c>
      <c r="M71" s="64" t="str">
        <f>VLOOKUP($B71,Form_Playoff1aFase!$C$1:$AQ$44,16,FALSE)</f>
        <v>Real Madrid</v>
      </c>
      <c r="N71" s="61"/>
      <c r="O71" s="62"/>
      <c r="P71" s="9"/>
      <c r="Q71" s="48">
        <f>IF(M71=M$72,Pesos!$M$4,0)*IF(COUNTIF(M$51:O$71,M71)=1,2,1)</f>
        <v>1.5</v>
      </c>
      <c r="R71" s="64" t="str">
        <f>VLOOKUP($B71,Form_Playoff1aFase!$C$1:$AQ$44,21,FALSE)</f>
        <v>Borussia Dortmund</v>
      </c>
      <c r="S71" s="61"/>
      <c r="T71" s="62"/>
      <c r="U71" s="9"/>
      <c r="V71" s="48">
        <f>IF(R71=R$72,Pesos!$M$4,0)*IF(COUNTIF(R$51:T$71,R71)=1,2,1)</f>
        <v>0</v>
      </c>
      <c r="W71" s="64" t="str">
        <f>VLOOKUP($B71,Form_Playoff1aFase!$C$1:$AQ$44,26,FALSE)</f>
        <v>Newcastle</v>
      </c>
      <c r="X71" s="61"/>
      <c r="Y71" s="62"/>
      <c r="Z71" s="9"/>
      <c r="AA71" s="48">
        <f>IF(W71=W$72,Pesos!$M$4,0)*IF(COUNTIF(W$51:Y$71,W71)=1,2,1)</f>
        <v>1.5</v>
      </c>
      <c r="AB71" s="64" t="str">
        <f>VLOOKUP($B71,Form_Playoff1aFase!$C$1:$AQ$44,31,FALSE)</f>
        <v>Atlético de Madrid</v>
      </c>
      <c r="AC71" s="61"/>
      <c r="AD71" s="62"/>
      <c r="AE71" s="9"/>
      <c r="AF71" s="48">
        <f>IF(AB71=AB$72,Pesos!$M$4,0)*IF(COUNTIF(AB$51:AD$71,AB71)=1,2,1)</f>
        <v>1.5</v>
      </c>
      <c r="AG71" s="64" t="str">
        <f>VLOOKUP($B71,Form_Playoff1aFase!$C$1:$AQ$44,36,FALSE)</f>
        <v>Internazionale</v>
      </c>
      <c r="AH71" s="61"/>
      <c r="AI71" s="62"/>
      <c r="AJ71" s="9"/>
      <c r="AK71" s="48">
        <f>IF(AG71=AG$72,Pesos!$M$4,0)*IF(COUNTIF(AG$51:AI$71,AG71)=1,2,1)</f>
        <v>0</v>
      </c>
      <c r="AL71" s="64" t="str">
        <f>VLOOKUP($B71,Form_Playoff1aFase!$C$1:$AQ$44,41,FALSE)</f>
        <v>Bayer Leverkusen</v>
      </c>
      <c r="AM71" s="61"/>
      <c r="AN71" s="62"/>
      <c r="AO71" s="9"/>
      <c r="AP71" s="48">
        <f>IF(AL71=AL$72,Pesos!$M$4,0)*IF(COUNTIF(AL$51:AN$71,AL71)=1,2,1)</f>
        <v>1.5</v>
      </c>
      <c r="AQ71" s="41"/>
      <c r="AR71" s="41">
        <f t="shared" si="19"/>
        <v>5</v>
      </c>
    </row>
    <row r="72" ht="14.25" customHeight="1">
      <c r="A72" s="56"/>
      <c r="B72" s="53" t="s">
        <v>1</v>
      </c>
      <c r="C72" s="66" t="s">
        <v>44</v>
      </c>
      <c r="D72" s="61"/>
      <c r="E72" s="62"/>
      <c r="F72" s="9"/>
      <c r="G72" s="48"/>
      <c r="H72" s="66" t="s">
        <v>58</v>
      </c>
      <c r="I72" s="61"/>
      <c r="J72" s="62"/>
      <c r="K72" s="55"/>
      <c r="L72" s="48"/>
      <c r="M72" s="67" t="s">
        <v>40</v>
      </c>
      <c r="N72" s="61"/>
      <c r="O72" s="62"/>
      <c r="P72" s="55"/>
      <c r="Q72" s="48"/>
      <c r="R72" s="66" t="s">
        <v>54</v>
      </c>
      <c r="S72" s="61"/>
      <c r="T72" s="62"/>
      <c r="U72" s="55"/>
      <c r="V72" s="48"/>
      <c r="W72" s="66" t="s">
        <v>59</v>
      </c>
      <c r="X72" s="61"/>
      <c r="Y72" s="62"/>
      <c r="Z72" s="47"/>
      <c r="AA72" s="48"/>
      <c r="AB72" s="66" t="s">
        <v>56</v>
      </c>
      <c r="AC72" s="61"/>
      <c r="AD72" s="62"/>
      <c r="AE72" s="47"/>
      <c r="AF72" s="48"/>
      <c r="AG72" s="66" t="s">
        <v>77</v>
      </c>
      <c r="AH72" s="61"/>
      <c r="AI72" s="62"/>
      <c r="AJ72" s="47"/>
      <c r="AK72" s="48"/>
      <c r="AL72" s="66" t="s">
        <v>68</v>
      </c>
      <c r="AM72" s="61"/>
      <c r="AN72" s="62"/>
      <c r="AO72" s="55"/>
      <c r="AP72" s="48"/>
      <c r="AQ72" s="56"/>
      <c r="AR72" s="56"/>
    </row>
    <row r="73" ht="14.25" customHeight="1">
      <c r="A73" s="41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1"/>
      <c r="AR73" s="41"/>
    </row>
    <row r="74" ht="14.25" customHeight="1">
      <c r="A74" s="41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68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1"/>
      <c r="AR74" s="41"/>
    </row>
    <row r="75" ht="14.25" customHeight="1">
      <c r="A75" s="41"/>
      <c r="B75" s="51" t="s">
        <v>9</v>
      </c>
      <c r="C75" s="40"/>
      <c r="D75" s="40"/>
      <c r="E75" s="40"/>
      <c r="F75" s="40"/>
      <c r="G75" s="40">
        <f t="shared" ref="G75:G95" si="20">G51+G27+G3</f>
        <v>1.5</v>
      </c>
      <c r="H75" s="40"/>
      <c r="I75" s="40"/>
      <c r="J75" s="40"/>
      <c r="K75" s="40"/>
      <c r="L75" s="40">
        <f t="shared" ref="L75:L95" si="21">(L51+L27+L3)</f>
        <v>1</v>
      </c>
      <c r="M75" s="40"/>
      <c r="N75" s="40"/>
      <c r="O75" s="40"/>
      <c r="P75" s="40"/>
      <c r="Q75" s="40">
        <f t="shared" ref="Q75:Q95" si="22">Q51+Q27+Q3</f>
        <v>2</v>
      </c>
      <c r="R75" s="40"/>
      <c r="S75" s="40"/>
      <c r="T75" s="40"/>
      <c r="U75" s="40"/>
      <c r="V75" s="40">
        <f t="shared" ref="V75:V95" si="23">V51+V27+V3</f>
        <v>0.5</v>
      </c>
      <c r="W75" s="40"/>
      <c r="X75" s="40"/>
      <c r="Y75" s="40"/>
      <c r="Z75" s="40"/>
      <c r="AA75" s="40">
        <f t="shared" ref="AA75:AA95" si="24">AA51+AA27+AA3</f>
        <v>2.5</v>
      </c>
      <c r="AB75" s="40"/>
      <c r="AC75" s="40"/>
      <c r="AD75" s="40"/>
      <c r="AE75" s="40"/>
      <c r="AF75" s="40">
        <f t="shared" ref="AF75:AF95" si="25">AF51+AF27+AF3</f>
        <v>2.5</v>
      </c>
      <c r="AG75" s="40"/>
      <c r="AH75" s="40"/>
      <c r="AI75" s="40"/>
      <c r="AJ75" s="40"/>
      <c r="AK75" s="40">
        <f t="shared" ref="AK75:AK95" si="26">AK51+AK27+AK3</f>
        <v>0</v>
      </c>
      <c r="AL75" s="40"/>
      <c r="AM75" s="40"/>
      <c r="AN75" s="40"/>
      <c r="AO75" s="40"/>
      <c r="AP75" s="40">
        <f t="shared" ref="AP75:AP95" si="27">AP51+AP27+AP3</f>
        <v>2</v>
      </c>
      <c r="AQ75" s="41"/>
      <c r="AR75" s="41"/>
    </row>
    <row r="76" ht="14.25" customHeight="1">
      <c r="A76" s="41"/>
      <c r="B76" s="51" t="s">
        <v>10</v>
      </c>
      <c r="C76" s="40"/>
      <c r="D76" s="40"/>
      <c r="E76" s="40"/>
      <c r="F76" s="40"/>
      <c r="G76" s="40">
        <f t="shared" si="20"/>
        <v>2</v>
      </c>
      <c r="H76" s="40"/>
      <c r="I76" s="40"/>
      <c r="J76" s="40"/>
      <c r="K76" s="40"/>
      <c r="L76" s="40">
        <f t="shared" si="21"/>
        <v>1</v>
      </c>
      <c r="M76" s="40"/>
      <c r="N76" s="40"/>
      <c r="O76" s="40"/>
      <c r="P76" s="40"/>
      <c r="Q76" s="40">
        <f t="shared" si="22"/>
        <v>2</v>
      </c>
      <c r="R76" s="40"/>
      <c r="S76" s="40"/>
      <c r="T76" s="40"/>
      <c r="U76" s="40"/>
      <c r="V76" s="40">
        <f t="shared" si="23"/>
        <v>5</v>
      </c>
      <c r="W76" s="40"/>
      <c r="X76" s="40"/>
      <c r="Y76" s="40"/>
      <c r="Z76" s="40"/>
      <c r="AA76" s="40">
        <f t="shared" si="24"/>
        <v>2.5</v>
      </c>
      <c r="AB76" s="40"/>
      <c r="AC76" s="40"/>
      <c r="AD76" s="40"/>
      <c r="AE76" s="40"/>
      <c r="AF76" s="40">
        <f t="shared" si="25"/>
        <v>2</v>
      </c>
      <c r="AG76" s="40"/>
      <c r="AH76" s="40"/>
      <c r="AI76" s="40"/>
      <c r="AJ76" s="40"/>
      <c r="AK76" s="40">
        <f t="shared" si="26"/>
        <v>0</v>
      </c>
      <c r="AL76" s="40"/>
      <c r="AM76" s="40"/>
      <c r="AN76" s="40"/>
      <c r="AO76" s="40"/>
      <c r="AP76" s="40">
        <f t="shared" si="27"/>
        <v>1.5</v>
      </c>
      <c r="AQ76" s="41"/>
      <c r="AR76" s="41"/>
    </row>
    <row r="77" ht="14.25" customHeight="1">
      <c r="A77" s="41"/>
      <c r="B77" s="51" t="s">
        <v>17</v>
      </c>
      <c r="C77" s="40"/>
      <c r="D77" s="40"/>
      <c r="E77" s="40"/>
      <c r="F77" s="40"/>
      <c r="G77" s="40">
        <f t="shared" si="20"/>
        <v>2</v>
      </c>
      <c r="H77" s="40"/>
      <c r="I77" s="40"/>
      <c r="J77" s="40"/>
      <c r="K77" s="40"/>
      <c r="L77" s="40">
        <f t="shared" si="21"/>
        <v>0.5</v>
      </c>
      <c r="M77" s="40"/>
      <c r="N77" s="40"/>
      <c r="O77" s="40"/>
      <c r="P77" s="40"/>
      <c r="Q77" s="40">
        <f t="shared" si="22"/>
        <v>2</v>
      </c>
      <c r="R77" s="40"/>
      <c r="S77" s="40"/>
      <c r="T77" s="40"/>
      <c r="U77" s="40"/>
      <c r="V77" s="40">
        <f t="shared" si="23"/>
        <v>3</v>
      </c>
      <c r="W77" s="40"/>
      <c r="X77" s="40"/>
      <c r="Y77" s="40"/>
      <c r="Z77" s="40"/>
      <c r="AA77" s="40">
        <f t="shared" si="24"/>
        <v>2.5</v>
      </c>
      <c r="AB77" s="40"/>
      <c r="AC77" s="40"/>
      <c r="AD77" s="40"/>
      <c r="AE77" s="40"/>
      <c r="AF77" s="40">
        <f t="shared" si="25"/>
        <v>2.5</v>
      </c>
      <c r="AG77" s="40"/>
      <c r="AH77" s="40"/>
      <c r="AI77" s="40"/>
      <c r="AJ77" s="40"/>
      <c r="AK77" s="40">
        <f t="shared" si="26"/>
        <v>0</v>
      </c>
      <c r="AL77" s="40"/>
      <c r="AM77" s="40"/>
      <c r="AN77" s="40"/>
      <c r="AO77" s="40"/>
      <c r="AP77" s="40">
        <f t="shared" si="27"/>
        <v>1.5</v>
      </c>
      <c r="AQ77" s="41"/>
      <c r="AR77" s="41"/>
    </row>
    <row r="78" ht="14.25" customHeight="1">
      <c r="A78" s="41"/>
      <c r="B78" s="51" t="s">
        <v>3</v>
      </c>
      <c r="C78" s="40"/>
      <c r="D78" s="40"/>
      <c r="E78" s="40"/>
      <c r="F78" s="40"/>
      <c r="G78" s="40">
        <f t="shared" si="20"/>
        <v>1.5</v>
      </c>
      <c r="H78" s="40"/>
      <c r="I78" s="40"/>
      <c r="J78" s="40"/>
      <c r="K78" s="40"/>
      <c r="L78" s="40">
        <f t="shared" si="21"/>
        <v>0.5</v>
      </c>
      <c r="M78" s="40"/>
      <c r="N78" s="40"/>
      <c r="O78" s="40"/>
      <c r="P78" s="40"/>
      <c r="Q78" s="40">
        <f t="shared" si="22"/>
        <v>2.5</v>
      </c>
      <c r="R78" s="40"/>
      <c r="S78" s="40"/>
      <c r="T78" s="40"/>
      <c r="U78" s="40"/>
      <c r="V78" s="40">
        <f t="shared" si="23"/>
        <v>0</v>
      </c>
      <c r="W78" s="40"/>
      <c r="X78" s="40"/>
      <c r="Y78" s="40"/>
      <c r="Z78" s="40"/>
      <c r="AA78" s="40">
        <f t="shared" si="24"/>
        <v>2.5</v>
      </c>
      <c r="AB78" s="40"/>
      <c r="AC78" s="40"/>
      <c r="AD78" s="40"/>
      <c r="AE78" s="40"/>
      <c r="AF78" s="40">
        <f t="shared" si="25"/>
        <v>2.5</v>
      </c>
      <c r="AG78" s="40"/>
      <c r="AH78" s="40"/>
      <c r="AI78" s="40"/>
      <c r="AJ78" s="40"/>
      <c r="AK78" s="40">
        <f t="shared" si="26"/>
        <v>0</v>
      </c>
      <c r="AL78" s="40"/>
      <c r="AM78" s="40"/>
      <c r="AN78" s="40"/>
      <c r="AO78" s="40"/>
      <c r="AP78" s="40">
        <f t="shared" si="27"/>
        <v>2</v>
      </c>
      <c r="AQ78" s="41"/>
      <c r="AR78" s="41"/>
    </row>
    <row r="79" ht="14.25" customHeight="1">
      <c r="A79" s="41"/>
      <c r="B79" s="51" t="s">
        <v>13</v>
      </c>
      <c r="C79" s="40"/>
      <c r="D79" s="40"/>
      <c r="E79" s="40"/>
      <c r="F79" s="40"/>
      <c r="G79" s="40">
        <f t="shared" si="20"/>
        <v>2</v>
      </c>
      <c r="H79" s="40"/>
      <c r="I79" s="40"/>
      <c r="J79" s="40"/>
      <c r="K79" s="40"/>
      <c r="L79" s="40">
        <f t="shared" si="21"/>
        <v>0.5</v>
      </c>
      <c r="M79" s="40"/>
      <c r="N79" s="40"/>
      <c r="O79" s="40"/>
      <c r="P79" s="40"/>
      <c r="Q79" s="40">
        <f t="shared" si="22"/>
        <v>2</v>
      </c>
      <c r="R79" s="40"/>
      <c r="S79" s="40"/>
      <c r="T79" s="40"/>
      <c r="U79" s="40"/>
      <c r="V79" s="40">
        <f t="shared" si="23"/>
        <v>0.5</v>
      </c>
      <c r="W79" s="40"/>
      <c r="X79" s="40"/>
      <c r="Y79" s="40"/>
      <c r="Z79" s="40"/>
      <c r="AA79" s="40">
        <f t="shared" si="24"/>
        <v>2.5</v>
      </c>
      <c r="AB79" s="40"/>
      <c r="AC79" s="40"/>
      <c r="AD79" s="40"/>
      <c r="AE79" s="40"/>
      <c r="AF79" s="40">
        <f t="shared" si="25"/>
        <v>2</v>
      </c>
      <c r="AG79" s="40"/>
      <c r="AH79" s="40"/>
      <c r="AI79" s="40"/>
      <c r="AJ79" s="40"/>
      <c r="AK79" s="40">
        <f t="shared" si="26"/>
        <v>0</v>
      </c>
      <c r="AL79" s="40"/>
      <c r="AM79" s="40"/>
      <c r="AN79" s="40"/>
      <c r="AO79" s="40"/>
      <c r="AP79" s="40">
        <f t="shared" si="27"/>
        <v>1.5</v>
      </c>
      <c r="AQ79" s="41"/>
      <c r="AR79" s="41"/>
    </row>
    <row r="80" ht="14.25" customHeight="1">
      <c r="A80" s="41"/>
      <c r="B80" s="51" t="s">
        <v>14</v>
      </c>
      <c r="C80" s="40"/>
      <c r="D80" s="40"/>
      <c r="E80" s="40"/>
      <c r="F80" s="40"/>
      <c r="G80" s="40">
        <f t="shared" si="20"/>
        <v>1.5</v>
      </c>
      <c r="H80" s="40"/>
      <c r="I80" s="40"/>
      <c r="J80" s="40"/>
      <c r="K80" s="40"/>
      <c r="L80" s="40">
        <f t="shared" si="21"/>
        <v>0.5</v>
      </c>
      <c r="M80" s="40"/>
      <c r="N80" s="40"/>
      <c r="O80" s="40"/>
      <c r="P80" s="40"/>
      <c r="Q80" s="40">
        <f t="shared" si="22"/>
        <v>2.5</v>
      </c>
      <c r="R80" s="40"/>
      <c r="S80" s="40"/>
      <c r="T80" s="40"/>
      <c r="U80" s="40"/>
      <c r="V80" s="40">
        <f t="shared" si="23"/>
        <v>2</v>
      </c>
      <c r="W80" s="40"/>
      <c r="X80" s="40"/>
      <c r="Y80" s="40"/>
      <c r="Z80" s="40"/>
      <c r="AA80" s="40">
        <f t="shared" si="24"/>
        <v>2.5</v>
      </c>
      <c r="AB80" s="40"/>
      <c r="AC80" s="40"/>
      <c r="AD80" s="40"/>
      <c r="AE80" s="40"/>
      <c r="AF80" s="40">
        <f t="shared" si="25"/>
        <v>2.5</v>
      </c>
      <c r="AG80" s="40"/>
      <c r="AH80" s="40"/>
      <c r="AI80" s="40"/>
      <c r="AJ80" s="40"/>
      <c r="AK80" s="40">
        <f t="shared" si="26"/>
        <v>0</v>
      </c>
      <c r="AL80" s="40"/>
      <c r="AM80" s="40"/>
      <c r="AN80" s="40"/>
      <c r="AO80" s="40"/>
      <c r="AP80" s="40">
        <f t="shared" si="27"/>
        <v>0.5</v>
      </c>
      <c r="AQ80" s="41"/>
      <c r="AR80" s="41"/>
    </row>
    <row r="81" ht="14.25" customHeight="1">
      <c r="A81" s="41"/>
      <c r="B81" s="51" t="s">
        <v>6</v>
      </c>
      <c r="C81" s="40"/>
      <c r="D81" s="40"/>
      <c r="E81" s="40"/>
      <c r="F81" s="40"/>
      <c r="G81" s="40">
        <f t="shared" si="20"/>
        <v>2</v>
      </c>
      <c r="H81" s="40"/>
      <c r="I81" s="40"/>
      <c r="J81" s="40"/>
      <c r="K81" s="40"/>
      <c r="L81" s="40">
        <f t="shared" si="21"/>
        <v>2.5</v>
      </c>
      <c r="M81" s="40"/>
      <c r="N81" s="40"/>
      <c r="O81" s="40"/>
      <c r="P81" s="40"/>
      <c r="Q81" s="40">
        <f t="shared" si="22"/>
        <v>2</v>
      </c>
      <c r="R81" s="40"/>
      <c r="S81" s="40"/>
      <c r="T81" s="40"/>
      <c r="U81" s="40"/>
      <c r="V81" s="40">
        <f t="shared" si="23"/>
        <v>1</v>
      </c>
      <c r="W81" s="40"/>
      <c r="X81" s="40"/>
      <c r="Y81" s="40"/>
      <c r="Z81" s="40"/>
      <c r="AA81" s="40">
        <f t="shared" si="24"/>
        <v>2.5</v>
      </c>
      <c r="AB81" s="40"/>
      <c r="AC81" s="40"/>
      <c r="AD81" s="40"/>
      <c r="AE81" s="40"/>
      <c r="AF81" s="40">
        <f t="shared" si="25"/>
        <v>2.5</v>
      </c>
      <c r="AG81" s="40"/>
      <c r="AH81" s="40"/>
      <c r="AI81" s="40"/>
      <c r="AJ81" s="40"/>
      <c r="AK81" s="40">
        <f t="shared" si="26"/>
        <v>0</v>
      </c>
      <c r="AL81" s="40"/>
      <c r="AM81" s="40"/>
      <c r="AN81" s="40"/>
      <c r="AO81" s="40"/>
      <c r="AP81" s="40">
        <f t="shared" si="27"/>
        <v>0.5</v>
      </c>
      <c r="AQ81" s="41"/>
      <c r="AR81" s="41"/>
    </row>
    <row r="82" ht="14.25" customHeight="1">
      <c r="A82" s="41"/>
      <c r="B82" s="51" t="s">
        <v>5</v>
      </c>
      <c r="C82" s="40"/>
      <c r="D82" s="40"/>
      <c r="E82" s="40"/>
      <c r="F82" s="40"/>
      <c r="G82" s="40">
        <f t="shared" si="20"/>
        <v>2</v>
      </c>
      <c r="H82" s="40"/>
      <c r="I82" s="40"/>
      <c r="J82" s="40"/>
      <c r="K82" s="40"/>
      <c r="L82" s="40">
        <f t="shared" si="21"/>
        <v>0.5</v>
      </c>
      <c r="M82" s="40"/>
      <c r="N82" s="40"/>
      <c r="O82" s="40"/>
      <c r="P82" s="40"/>
      <c r="Q82" s="40">
        <f t="shared" si="22"/>
        <v>2</v>
      </c>
      <c r="R82" s="40"/>
      <c r="S82" s="40"/>
      <c r="T82" s="40"/>
      <c r="U82" s="40"/>
      <c r="V82" s="40">
        <f t="shared" si="23"/>
        <v>0</v>
      </c>
      <c r="W82" s="40"/>
      <c r="X82" s="40"/>
      <c r="Y82" s="40"/>
      <c r="Z82" s="40"/>
      <c r="AA82" s="40">
        <f t="shared" si="24"/>
        <v>2</v>
      </c>
      <c r="AB82" s="40"/>
      <c r="AC82" s="40"/>
      <c r="AD82" s="40"/>
      <c r="AE82" s="40"/>
      <c r="AF82" s="40">
        <f t="shared" si="25"/>
        <v>2</v>
      </c>
      <c r="AG82" s="40"/>
      <c r="AH82" s="40"/>
      <c r="AI82" s="40"/>
      <c r="AJ82" s="40"/>
      <c r="AK82" s="40">
        <f t="shared" si="26"/>
        <v>0</v>
      </c>
      <c r="AL82" s="40"/>
      <c r="AM82" s="40"/>
      <c r="AN82" s="40"/>
      <c r="AO82" s="40"/>
      <c r="AP82" s="40">
        <f t="shared" si="27"/>
        <v>2</v>
      </c>
      <c r="AQ82" s="41"/>
      <c r="AR82" s="41"/>
    </row>
    <row r="83" ht="14.25" customHeight="1">
      <c r="A83" s="41"/>
      <c r="B83" s="51" t="s">
        <v>4</v>
      </c>
      <c r="C83" s="40"/>
      <c r="D83" s="40"/>
      <c r="E83" s="40"/>
      <c r="F83" s="40"/>
      <c r="G83" s="40">
        <f t="shared" si="20"/>
        <v>2</v>
      </c>
      <c r="H83" s="40"/>
      <c r="I83" s="40"/>
      <c r="J83" s="40"/>
      <c r="K83" s="40"/>
      <c r="L83" s="40">
        <f t="shared" si="21"/>
        <v>2</v>
      </c>
      <c r="M83" s="40"/>
      <c r="N83" s="40"/>
      <c r="O83" s="40"/>
      <c r="P83" s="40"/>
      <c r="Q83" s="40">
        <f t="shared" si="22"/>
        <v>7.5</v>
      </c>
      <c r="R83" s="40"/>
      <c r="S83" s="40"/>
      <c r="T83" s="40"/>
      <c r="U83" s="40"/>
      <c r="V83" s="40">
        <f t="shared" si="23"/>
        <v>3</v>
      </c>
      <c r="W83" s="40"/>
      <c r="X83" s="40"/>
      <c r="Y83" s="40"/>
      <c r="Z83" s="40"/>
      <c r="AA83" s="40">
        <f t="shared" si="24"/>
        <v>2</v>
      </c>
      <c r="AB83" s="40"/>
      <c r="AC83" s="40"/>
      <c r="AD83" s="40"/>
      <c r="AE83" s="40"/>
      <c r="AF83" s="40">
        <f t="shared" si="25"/>
        <v>2.5</v>
      </c>
      <c r="AG83" s="40"/>
      <c r="AH83" s="40"/>
      <c r="AI83" s="40"/>
      <c r="AJ83" s="40"/>
      <c r="AK83" s="40">
        <f t="shared" si="26"/>
        <v>0</v>
      </c>
      <c r="AL83" s="40"/>
      <c r="AM83" s="40"/>
      <c r="AN83" s="40"/>
      <c r="AO83" s="40"/>
      <c r="AP83" s="40">
        <f t="shared" si="27"/>
        <v>1.5</v>
      </c>
      <c r="AQ83" s="41"/>
      <c r="AR83" s="41"/>
    </row>
    <row r="84" ht="14.25" customHeight="1">
      <c r="A84" s="41"/>
      <c r="B84" s="51" t="s">
        <v>18</v>
      </c>
      <c r="C84" s="40"/>
      <c r="D84" s="40"/>
      <c r="E84" s="40"/>
      <c r="F84" s="40"/>
      <c r="G84" s="40">
        <f t="shared" si="20"/>
        <v>2</v>
      </c>
      <c r="H84" s="40"/>
      <c r="I84" s="40"/>
      <c r="J84" s="40"/>
      <c r="K84" s="40"/>
      <c r="L84" s="40">
        <f t="shared" si="21"/>
        <v>1</v>
      </c>
      <c r="M84" s="40"/>
      <c r="N84" s="40"/>
      <c r="O84" s="40"/>
      <c r="P84" s="40"/>
      <c r="Q84" s="40">
        <f t="shared" si="22"/>
        <v>2</v>
      </c>
      <c r="R84" s="40"/>
      <c r="S84" s="40"/>
      <c r="T84" s="40"/>
      <c r="U84" s="40"/>
      <c r="V84" s="40">
        <f t="shared" si="23"/>
        <v>0.5</v>
      </c>
      <c r="W84" s="40"/>
      <c r="X84" s="40"/>
      <c r="Y84" s="40"/>
      <c r="Z84" s="40"/>
      <c r="AA84" s="40">
        <f t="shared" si="24"/>
        <v>2.5</v>
      </c>
      <c r="AB84" s="40"/>
      <c r="AC84" s="40"/>
      <c r="AD84" s="40"/>
      <c r="AE84" s="40"/>
      <c r="AF84" s="40">
        <f t="shared" si="25"/>
        <v>2.5</v>
      </c>
      <c r="AG84" s="40"/>
      <c r="AH84" s="40"/>
      <c r="AI84" s="40"/>
      <c r="AJ84" s="40"/>
      <c r="AK84" s="40">
        <f t="shared" si="26"/>
        <v>0</v>
      </c>
      <c r="AL84" s="40"/>
      <c r="AM84" s="40"/>
      <c r="AN84" s="40"/>
      <c r="AO84" s="40"/>
      <c r="AP84" s="40">
        <f t="shared" si="27"/>
        <v>1.5</v>
      </c>
      <c r="AQ84" s="41"/>
      <c r="AR84" s="41"/>
    </row>
    <row r="85" ht="14.25" customHeight="1">
      <c r="A85" s="41"/>
      <c r="B85" s="51" t="s">
        <v>2</v>
      </c>
      <c r="C85" s="40"/>
      <c r="D85" s="40"/>
      <c r="E85" s="40"/>
      <c r="F85" s="40"/>
      <c r="G85" s="40">
        <f t="shared" si="20"/>
        <v>2</v>
      </c>
      <c r="H85" s="40"/>
      <c r="I85" s="40"/>
      <c r="J85" s="40"/>
      <c r="K85" s="40"/>
      <c r="L85" s="40">
        <f t="shared" si="21"/>
        <v>1</v>
      </c>
      <c r="M85" s="40"/>
      <c r="N85" s="40"/>
      <c r="O85" s="40"/>
      <c r="P85" s="40"/>
      <c r="Q85" s="40">
        <f t="shared" si="22"/>
        <v>2</v>
      </c>
      <c r="R85" s="40"/>
      <c r="S85" s="40"/>
      <c r="T85" s="40"/>
      <c r="U85" s="40"/>
      <c r="V85" s="40">
        <f t="shared" si="23"/>
        <v>1.5</v>
      </c>
      <c r="W85" s="40"/>
      <c r="X85" s="40"/>
      <c r="Y85" s="40"/>
      <c r="Z85" s="40"/>
      <c r="AA85" s="40">
        <f t="shared" si="24"/>
        <v>2</v>
      </c>
      <c r="AB85" s="40"/>
      <c r="AC85" s="40"/>
      <c r="AD85" s="40"/>
      <c r="AE85" s="40"/>
      <c r="AF85" s="40">
        <f t="shared" si="25"/>
        <v>2.5</v>
      </c>
      <c r="AG85" s="40"/>
      <c r="AH85" s="40"/>
      <c r="AI85" s="40"/>
      <c r="AJ85" s="40"/>
      <c r="AK85" s="40">
        <f t="shared" si="26"/>
        <v>0</v>
      </c>
      <c r="AL85" s="40"/>
      <c r="AM85" s="40"/>
      <c r="AN85" s="40"/>
      <c r="AO85" s="40"/>
      <c r="AP85" s="40">
        <f t="shared" si="27"/>
        <v>1.5</v>
      </c>
      <c r="AQ85" s="41"/>
      <c r="AR85" s="41"/>
    </row>
    <row r="86" ht="14.25" customHeight="1">
      <c r="A86" s="41"/>
      <c r="B86" s="51" t="s">
        <v>15</v>
      </c>
      <c r="C86" s="40"/>
      <c r="D86" s="40"/>
      <c r="E86" s="40"/>
      <c r="F86" s="40"/>
      <c r="G86" s="40">
        <f t="shared" si="20"/>
        <v>2</v>
      </c>
      <c r="H86" s="40"/>
      <c r="I86" s="40"/>
      <c r="J86" s="40"/>
      <c r="K86" s="40"/>
      <c r="L86" s="40">
        <f t="shared" si="21"/>
        <v>1</v>
      </c>
      <c r="M86" s="40"/>
      <c r="N86" s="40"/>
      <c r="O86" s="40"/>
      <c r="P86" s="40"/>
      <c r="Q86" s="40">
        <f t="shared" si="22"/>
        <v>2.5</v>
      </c>
      <c r="R86" s="40"/>
      <c r="S86" s="40"/>
      <c r="T86" s="40"/>
      <c r="U86" s="40"/>
      <c r="V86" s="40">
        <f t="shared" si="23"/>
        <v>0.5</v>
      </c>
      <c r="W86" s="40"/>
      <c r="X86" s="40"/>
      <c r="Y86" s="40"/>
      <c r="Z86" s="40"/>
      <c r="AA86" s="40">
        <f t="shared" si="24"/>
        <v>2.5</v>
      </c>
      <c r="AB86" s="40"/>
      <c r="AC86" s="40"/>
      <c r="AD86" s="40"/>
      <c r="AE86" s="40"/>
      <c r="AF86" s="40">
        <f t="shared" si="25"/>
        <v>0.5</v>
      </c>
      <c r="AG86" s="40"/>
      <c r="AH86" s="40"/>
      <c r="AI86" s="40"/>
      <c r="AJ86" s="40"/>
      <c r="AK86" s="40">
        <f t="shared" si="26"/>
        <v>0</v>
      </c>
      <c r="AL86" s="40"/>
      <c r="AM86" s="40"/>
      <c r="AN86" s="40"/>
      <c r="AO86" s="40"/>
      <c r="AP86" s="40">
        <f t="shared" si="27"/>
        <v>1.5</v>
      </c>
      <c r="AQ86" s="41"/>
      <c r="AR86" s="41"/>
    </row>
    <row r="87" ht="14.25" customHeight="1">
      <c r="A87" s="41"/>
      <c r="B87" s="51" t="s">
        <v>12</v>
      </c>
      <c r="C87" s="40"/>
      <c r="D87" s="40"/>
      <c r="E87" s="40"/>
      <c r="F87" s="40"/>
      <c r="G87" s="40">
        <f t="shared" si="20"/>
        <v>2</v>
      </c>
      <c r="H87" s="40"/>
      <c r="I87" s="40"/>
      <c r="J87" s="40"/>
      <c r="K87" s="40"/>
      <c r="L87" s="40">
        <f t="shared" si="21"/>
        <v>0.5</v>
      </c>
      <c r="M87" s="40"/>
      <c r="N87" s="40"/>
      <c r="O87" s="40"/>
      <c r="P87" s="40"/>
      <c r="Q87" s="40">
        <f t="shared" si="22"/>
        <v>4.5</v>
      </c>
      <c r="R87" s="40"/>
      <c r="S87" s="40"/>
      <c r="T87" s="40"/>
      <c r="U87" s="40"/>
      <c r="V87" s="40">
        <f t="shared" si="23"/>
        <v>0.5</v>
      </c>
      <c r="W87" s="40"/>
      <c r="X87" s="40"/>
      <c r="Y87" s="40"/>
      <c r="Z87" s="40"/>
      <c r="AA87" s="40">
        <f t="shared" si="24"/>
        <v>2</v>
      </c>
      <c r="AB87" s="40"/>
      <c r="AC87" s="40"/>
      <c r="AD87" s="40"/>
      <c r="AE87" s="40"/>
      <c r="AF87" s="40">
        <f t="shared" si="25"/>
        <v>2</v>
      </c>
      <c r="AG87" s="40"/>
      <c r="AH87" s="40"/>
      <c r="AI87" s="40"/>
      <c r="AJ87" s="40"/>
      <c r="AK87" s="40">
        <f t="shared" si="26"/>
        <v>0</v>
      </c>
      <c r="AL87" s="40"/>
      <c r="AM87" s="40"/>
      <c r="AN87" s="40"/>
      <c r="AO87" s="40"/>
      <c r="AP87" s="40">
        <f t="shared" si="27"/>
        <v>1.5</v>
      </c>
      <c r="AQ87" s="41"/>
      <c r="AR87" s="41"/>
    </row>
    <row r="88" ht="14.25" customHeight="1">
      <c r="A88" s="41"/>
      <c r="B88" s="51" t="s">
        <v>8</v>
      </c>
      <c r="C88" s="40"/>
      <c r="D88" s="40"/>
      <c r="E88" s="40"/>
      <c r="F88" s="40"/>
      <c r="G88" s="40">
        <f t="shared" si="20"/>
        <v>2</v>
      </c>
      <c r="H88" s="40"/>
      <c r="I88" s="40"/>
      <c r="J88" s="40"/>
      <c r="K88" s="40"/>
      <c r="L88" s="40">
        <f t="shared" si="21"/>
        <v>0.5</v>
      </c>
      <c r="M88" s="40"/>
      <c r="N88" s="40"/>
      <c r="O88" s="40"/>
      <c r="P88" s="40"/>
      <c r="Q88" s="40">
        <f t="shared" si="22"/>
        <v>4.5</v>
      </c>
      <c r="R88" s="40"/>
      <c r="S88" s="40"/>
      <c r="T88" s="40"/>
      <c r="U88" s="40"/>
      <c r="V88" s="40">
        <f t="shared" si="23"/>
        <v>0.5</v>
      </c>
      <c r="W88" s="40"/>
      <c r="X88" s="40"/>
      <c r="Y88" s="40"/>
      <c r="Z88" s="40"/>
      <c r="AA88" s="40">
        <f t="shared" si="24"/>
        <v>2.5</v>
      </c>
      <c r="AB88" s="40"/>
      <c r="AC88" s="40"/>
      <c r="AD88" s="40"/>
      <c r="AE88" s="40"/>
      <c r="AF88" s="40">
        <f t="shared" si="25"/>
        <v>2</v>
      </c>
      <c r="AG88" s="40"/>
      <c r="AH88" s="40"/>
      <c r="AI88" s="40"/>
      <c r="AJ88" s="40"/>
      <c r="AK88" s="40">
        <f t="shared" si="26"/>
        <v>0</v>
      </c>
      <c r="AL88" s="40"/>
      <c r="AM88" s="40"/>
      <c r="AN88" s="40"/>
      <c r="AO88" s="40"/>
      <c r="AP88" s="40">
        <f t="shared" si="27"/>
        <v>1.5</v>
      </c>
      <c r="AQ88" s="41"/>
      <c r="AR88" s="41"/>
    </row>
    <row r="89" ht="14.25" customHeight="1">
      <c r="A89" s="41"/>
      <c r="B89" s="51" t="s">
        <v>16</v>
      </c>
      <c r="C89" s="40"/>
      <c r="D89" s="40"/>
      <c r="E89" s="40"/>
      <c r="F89" s="40"/>
      <c r="G89" s="40">
        <f t="shared" si="20"/>
        <v>2</v>
      </c>
      <c r="H89" s="40"/>
      <c r="I89" s="40"/>
      <c r="J89" s="40"/>
      <c r="K89" s="40"/>
      <c r="L89" s="40">
        <f t="shared" si="21"/>
        <v>0.5</v>
      </c>
      <c r="M89" s="40"/>
      <c r="N89" s="40"/>
      <c r="O89" s="40"/>
      <c r="P89" s="40"/>
      <c r="Q89" s="40">
        <f t="shared" si="22"/>
        <v>2.5</v>
      </c>
      <c r="R89" s="40"/>
      <c r="S89" s="40"/>
      <c r="T89" s="40"/>
      <c r="U89" s="40"/>
      <c r="V89" s="40">
        <f t="shared" si="23"/>
        <v>0.5</v>
      </c>
      <c r="W89" s="40"/>
      <c r="X89" s="40"/>
      <c r="Y89" s="40"/>
      <c r="Z89" s="40"/>
      <c r="AA89" s="40">
        <f t="shared" si="24"/>
        <v>2.5</v>
      </c>
      <c r="AB89" s="40"/>
      <c r="AC89" s="40"/>
      <c r="AD89" s="40"/>
      <c r="AE89" s="40"/>
      <c r="AF89" s="40">
        <f t="shared" si="25"/>
        <v>2.5</v>
      </c>
      <c r="AG89" s="40"/>
      <c r="AH89" s="40"/>
      <c r="AI89" s="40"/>
      <c r="AJ89" s="40"/>
      <c r="AK89" s="40">
        <f t="shared" si="26"/>
        <v>0</v>
      </c>
      <c r="AL89" s="40"/>
      <c r="AM89" s="40"/>
      <c r="AN89" s="40"/>
      <c r="AO89" s="40"/>
      <c r="AP89" s="40">
        <f t="shared" si="27"/>
        <v>0.5</v>
      </c>
      <c r="AQ89" s="41"/>
      <c r="AR89" s="41"/>
    </row>
    <row r="90" ht="14.25" customHeight="1">
      <c r="A90" s="41"/>
      <c r="B90" s="51" t="s">
        <v>11</v>
      </c>
      <c r="C90" s="40"/>
      <c r="D90" s="40"/>
      <c r="E90" s="40"/>
      <c r="F90" s="40"/>
      <c r="G90" s="40">
        <f t="shared" si="20"/>
        <v>4.5</v>
      </c>
      <c r="H90" s="40"/>
      <c r="I90" s="40"/>
      <c r="J90" s="40"/>
      <c r="K90" s="40"/>
      <c r="L90" s="40">
        <f t="shared" si="21"/>
        <v>0.5</v>
      </c>
      <c r="M90" s="40"/>
      <c r="N90" s="40"/>
      <c r="O90" s="40"/>
      <c r="P90" s="40"/>
      <c r="Q90" s="40">
        <f t="shared" si="22"/>
        <v>0</v>
      </c>
      <c r="R90" s="40"/>
      <c r="S90" s="40"/>
      <c r="T90" s="40"/>
      <c r="U90" s="40"/>
      <c r="V90" s="40">
        <f t="shared" si="23"/>
        <v>2</v>
      </c>
      <c r="W90" s="40"/>
      <c r="X90" s="40"/>
      <c r="Y90" s="40"/>
      <c r="Z90" s="40"/>
      <c r="AA90" s="40">
        <f t="shared" si="24"/>
        <v>2.5</v>
      </c>
      <c r="AB90" s="40"/>
      <c r="AC90" s="40"/>
      <c r="AD90" s="40"/>
      <c r="AE90" s="40"/>
      <c r="AF90" s="40">
        <f t="shared" si="25"/>
        <v>0</v>
      </c>
      <c r="AG90" s="40"/>
      <c r="AH90" s="40"/>
      <c r="AI90" s="40"/>
      <c r="AJ90" s="40"/>
      <c r="AK90" s="40">
        <f t="shared" si="26"/>
        <v>1</v>
      </c>
      <c r="AL90" s="40"/>
      <c r="AM90" s="40"/>
      <c r="AN90" s="40"/>
      <c r="AO90" s="40"/>
      <c r="AP90" s="40">
        <f t="shared" si="27"/>
        <v>2</v>
      </c>
      <c r="AQ90" s="41"/>
      <c r="AR90" s="41"/>
    </row>
    <row r="91" ht="14.25" customHeight="1">
      <c r="A91" s="41"/>
      <c r="B91" s="51" t="s">
        <v>7</v>
      </c>
      <c r="C91" s="40"/>
      <c r="D91" s="40"/>
      <c r="E91" s="40"/>
      <c r="F91" s="40"/>
      <c r="G91" s="40">
        <f t="shared" si="20"/>
        <v>2</v>
      </c>
      <c r="H91" s="40"/>
      <c r="I91" s="40"/>
      <c r="J91" s="40"/>
      <c r="K91" s="40"/>
      <c r="L91" s="40">
        <f t="shared" si="21"/>
        <v>1</v>
      </c>
      <c r="M91" s="40"/>
      <c r="N91" s="40"/>
      <c r="O91" s="40"/>
      <c r="P91" s="40"/>
      <c r="Q91" s="40">
        <f t="shared" si="22"/>
        <v>2</v>
      </c>
      <c r="R91" s="40"/>
      <c r="S91" s="40"/>
      <c r="T91" s="40"/>
      <c r="U91" s="40"/>
      <c r="V91" s="40">
        <f t="shared" si="23"/>
        <v>0.5</v>
      </c>
      <c r="W91" s="40"/>
      <c r="X91" s="40"/>
      <c r="Y91" s="40"/>
      <c r="Z91" s="40"/>
      <c r="AA91" s="40">
        <f t="shared" si="24"/>
        <v>2.5</v>
      </c>
      <c r="AB91" s="40"/>
      <c r="AC91" s="40"/>
      <c r="AD91" s="40"/>
      <c r="AE91" s="40"/>
      <c r="AF91" s="40">
        <f t="shared" si="25"/>
        <v>2</v>
      </c>
      <c r="AG91" s="40"/>
      <c r="AH91" s="40"/>
      <c r="AI91" s="40"/>
      <c r="AJ91" s="40"/>
      <c r="AK91" s="40">
        <f t="shared" si="26"/>
        <v>0</v>
      </c>
      <c r="AL91" s="40"/>
      <c r="AM91" s="40"/>
      <c r="AN91" s="40"/>
      <c r="AO91" s="40"/>
      <c r="AP91" s="40">
        <f t="shared" si="27"/>
        <v>2</v>
      </c>
      <c r="AQ91" s="41"/>
      <c r="AR91" s="41"/>
    </row>
    <row r="92" ht="14.25" customHeight="1">
      <c r="A92" s="41"/>
      <c r="B92" s="51" t="s">
        <v>19</v>
      </c>
      <c r="C92" s="40"/>
      <c r="D92" s="40"/>
      <c r="E92" s="40"/>
      <c r="F92" s="40"/>
      <c r="G92" s="40">
        <f t="shared" si="20"/>
        <v>1.5</v>
      </c>
      <c r="H92" s="40"/>
      <c r="I92" s="40"/>
      <c r="J92" s="40"/>
      <c r="K92" s="40"/>
      <c r="L92" s="40">
        <f t="shared" si="21"/>
        <v>3</v>
      </c>
      <c r="M92" s="40"/>
      <c r="N92" s="40"/>
      <c r="O92" s="40"/>
      <c r="P92" s="40"/>
      <c r="Q92" s="40">
        <f t="shared" si="22"/>
        <v>5</v>
      </c>
      <c r="R92" s="40"/>
      <c r="S92" s="40"/>
      <c r="T92" s="40"/>
      <c r="U92" s="40"/>
      <c r="V92" s="40">
        <f t="shared" si="23"/>
        <v>3</v>
      </c>
      <c r="W92" s="40"/>
      <c r="X92" s="40"/>
      <c r="Y92" s="40"/>
      <c r="Z92" s="40"/>
      <c r="AA92" s="40">
        <f t="shared" si="24"/>
        <v>2.5</v>
      </c>
      <c r="AB92" s="40"/>
      <c r="AC92" s="40"/>
      <c r="AD92" s="40"/>
      <c r="AE92" s="40"/>
      <c r="AF92" s="40">
        <f t="shared" si="25"/>
        <v>0.5</v>
      </c>
      <c r="AG92" s="40"/>
      <c r="AH92" s="40"/>
      <c r="AI92" s="40"/>
      <c r="AJ92" s="40"/>
      <c r="AK92" s="40">
        <f t="shared" si="26"/>
        <v>0</v>
      </c>
      <c r="AL92" s="40"/>
      <c r="AM92" s="40"/>
      <c r="AN92" s="40"/>
      <c r="AO92" s="40"/>
      <c r="AP92" s="40">
        <f t="shared" si="27"/>
        <v>0</v>
      </c>
      <c r="AQ92" s="41"/>
      <c r="AR92" s="41"/>
    </row>
    <row r="93" ht="14.25" customHeight="1">
      <c r="A93" s="41"/>
      <c r="B93" s="51" t="s">
        <v>20</v>
      </c>
      <c r="C93" s="40"/>
      <c r="D93" s="40"/>
      <c r="E93" s="40"/>
      <c r="F93" s="40"/>
      <c r="G93" s="40">
        <f t="shared" si="20"/>
        <v>8</v>
      </c>
      <c r="H93" s="40"/>
      <c r="I93" s="40"/>
      <c r="J93" s="40"/>
      <c r="K93" s="40"/>
      <c r="L93" s="40">
        <f t="shared" si="21"/>
        <v>0</v>
      </c>
      <c r="M93" s="40"/>
      <c r="N93" s="40"/>
      <c r="O93" s="40"/>
      <c r="P93" s="40"/>
      <c r="Q93" s="40">
        <f t="shared" si="22"/>
        <v>2.5</v>
      </c>
      <c r="R93" s="40"/>
      <c r="S93" s="40"/>
      <c r="T93" s="40"/>
      <c r="U93" s="40"/>
      <c r="V93" s="40">
        <f t="shared" si="23"/>
        <v>0</v>
      </c>
      <c r="W93" s="40"/>
      <c r="X93" s="40"/>
      <c r="Y93" s="40"/>
      <c r="Z93" s="40"/>
      <c r="AA93" s="40">
        <f t="shared" si="24"/>
        <v>2.5</v>
      </c>
      <c r="AB93" s="40"/>
      <c r="AC93" s="40"/>
      <c r="AD93" s="40"/>
      <c r="AE93" s="40"/>
      <c r="AF93" s="40">
        <f t="shared" si="25"/>
        <v>2</v>
      </c>
      <c r="AG93" s="40"/>
      <c r="AH93" s="40"/>
      <c r="AI93" s="40"/>
      <c r="AJ93" s="40"/>
      <c r="AK93" s="40">
        <f t="shared" si="26"/>
        <v>0</v>
      </c>
      <c r="AL93" s="40"/>
      <c r="AM93" s="40"/>
      <c r="AN93" s="40"/>
      <c r="AO93" s="40"/>
      <c r="AP93" s="40">
        <f t="shared" si="27"/>
        <v>2</v>
      </c>
      <c r="AQ93" s="41"/>
      <c r="AR93" s="41"/>
    </row>
    <row r="94" ht="14.25" customHeight="1">
      <c r="A94" s="41"/>
      <c r="B94" s="51" t="s">
        <v>21</v>
      </c>
      <c r="C94" s="40"/>
      <c r="D94" s="40"/>
      <c r="E94" s="40"/>
      <c r="F94" s="40"/>
      <c r="G94" s="40">
        <f t="shared" si="20"/>
        <v>2</v>
      </c>
      <c r="H94" s="40"/>
      <c r="I94" s="40"/>
      <c r="J94" s="40"/>
      <c r="K94" s="40"/>
      <c r="L94" s="40">
        <f t="shared" si="21"/>
        <v>0.5</v>
      </c>
      <c r="M94" s="40"/>
      <c r="N94" s="40"/>
      <c r="O94" s="40"/>
      <c r="P94" s="40"/>
      <c r="Q94" s="40">
        <f t="shared" si="22"/>
        <v>5</v>
      </c>
      <c r="R94" s="40"/>
      <c r="S94" s="40"/>
      <c r="T94" s="40"/>
      <c r="U94" s="40"/>
      <c r="V94" s="40">
        <f t="shared" si="23"/>
        <v>3</v>
      </c>
      <c r="W94" s="40"/>
      <c r="X94" s="40"/>
      <c r="Y94" s="40"/>
      <c r="Z94" s="40"/>
      <c r="AA94" s="40">
        <f t="shared" si="24"/>
        <v>2</v>
      </c>
      <c r="AB94" s="40"/>
      <c r="AC94" s="40"/>
      <c r="AD94" s="40"/>
      <c r="AE94" s="40"/>
      <c r="AF94" s="40">
        <f t="shared" si="25"/>
        <v>2</v>
      </c>
      <c r="AG94" s="40"/>
      <c r="AH94" s="40"/>
      <c r="AI94" s="40"/>
      <c r="AJ94" s="40"/>
      <c r="AK94" s="40">
        <f t="shared" si="26"/>
        <v>0</v>
      </c>
      <c r="AL94" s="40"/>
      <c r="AM94" s="40"/>
      <c r="AN94" s="40"/>
      <c r="AO94" s="40"/>
      <c r="AP94" s="40">
        <f t="shared" si="27"/>
        <v>1.5</v>
      </c>
      <c r="AQ94" s="41"/>
      <c r="AR94" s="41"/>
    </row>
    <row r="95" ht="14.25" customHeight="1">
      <c r="A95" s="41"/>
      <c r="B95" s="51" t="s">
        <v>22</v>
      </c>
      <c r="C95" s="40"/>
      <c r="D95" s="40"/>
      <c r="E95" s="40"/>
      <c r="F95" s="40"/>
      <c r="G95" s="40">
        <f t="shared" si="20"/>
        <v>2</v>
      </c>
      <c r="H95" s="40"/>
      <c r="I95" s="40"/>
      <c r="J95" s="40"/>
      <c r="K95" s="40"/>
      <c r="L95" s="40">
        <f t="shared" si="21"/>
        <v>1</v>
      </c>
      <c r="M95" s="40"/>
      <c r="N95" s="40"/>
      <c r="O95" s="40"/>
      <c r="P95" s="40"/>
      <c r="Q95" s="40">
        <f t="shared" si="22"/>
        <v>2.5</v>
      </c>
      <c r="R95" s="40"/>
      <c r="S95" s="40"/>
      <c r="T95" s="40"/>
      <c r="U95" s="40"/>
      <c r="V95" s="40">
        <f t="shared" si="23"/>
        <v>3</v>
      </c>
      <c r="W95" s="40"/>
      <c r="X95" s="40"/>
      <c r="Y95" s="40"/>
      <c r="Z95" s="40"/>
      <c r="AA95" s="40">
        <f t="shared" si="24"/>
        <v>2.5</v>
      </c>
      <c r="AB95" s="40"/>
      <c r="AC95" s="40"/>
      <c r="AD95" s="40"/>
      <c r="AE95" s="40"/>
      <c r="AF95" s="40">
        <f t="shared" si="25"/>
        <v>2</v>
      </c>
      <c r="AG95" s="40"/>
      <c r="AH95" s="40"/>
      <c r="AI95" s="40"/>
      <c r="AJ95" s="40"/>
      <c r="AK95" s="40">
        <f t="shared" si="26"/>
        <v>0</v>
      </c>
      <c r="AL95" s="40"/>
      <c r="AM95" s="40"/>
      <c r="AN95" s="40"/>
      <c r="AO95" s="40"/>
      <c r="AP95" s="40">
        <f t="shared" si="27"/>
        <v>2</v>
      </c>
      <c r="AQ95" s="41"/>
      <c r="AR95" s="41"/>
    </row>
    <row r="96" ht="14.25" customHeight="1">
      <c r="A96" s="41"/>
      <c r="B96" s="2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1"/>
      <c r="AR96" s="41"/>
    </row>
    <row r="97" ht="14.25" customHeight="1">
      <c r="A97" s="41"/>
      <c r="B97" s="40"/>
      <c r="C97" s="40"/>
      <c r="D97" s="40" t="s">
        <v>108</v>
      </c>
      <c r="E97" s="40"/>
      <c r="F97" s="40" t="s">
        <v>109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1"/>
      <c r="AR97" s="41"/>
    </row>
    <row r="98" ht="14.25" customHeight="1">
      <c r="A98" s="41"/>
      <c r="B98" s="51" t="s">
        <v>9</v>
      </c>
      <c r="C98" s="57" t="str">
        <f>VLOOKUP($B$98,Form_PrimeiraFase!$C$2:$FB$69,156,FALSE)</f>
        <v>Paris Saint-Germain</v>
      </c>
      <c r="D98" s="40">
        <f t="shared" ref="D98:D118" si="28">COUNTIF($C$72:$AN$72,C98)</f>
        <v>1</v>
      </c>
      <c r="E98" s="40"/>
      <c r="F98" s="69">
        <f t="shared" ref="F98:F118" si="29">G75+L75+Q75+V75+AA75+AF75+AK75+AP75</f>
        <v>12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1"/>
      <c r="AR98" s="41"/>
    </row>
    <row r="99" ht="14.25" customHeight="1">
      <c r="A99" s="41"/>
      <c r="B99" s="51" t="s">
        <v>10</v>
      </c>
      <c r="C99" s="57" t="str">
        <f>VLOOKUP($B$99,Form_PrimeiraFase!$C$2:$FB$69,156,FALSE)</f>
        <v>Liverpool</v>
      </c>
      <c r="D99" s="40">
        <f t="shared" si="28"/>
        <v>0</v>
      </c>
      <c r="E99" s="40"/>
      <c r="F99" s="69">
        <f t="shared" si="29"/>
        <v>16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1"/>
      <c r="AR99" s="41"/>
    </row>
    <row r="100" ht="14.25" customHeight="1">
      <c r="A100" s="41"/>
      <c r="B100" s="51" t="s">
        <v>17</v>
      </c>
      <c r="C100" s="57" t="str">
        <f>VLOOKUP($B$100,Form_PrimeiraFase!$C$2:$FB$69,156,FALSE)</f>
        <v>Real Madrid</v>
      </c>
      <c r="D100" s="40">
        <f t="shared" si="28"/>
        <v>1</v>
      </c>
      <c r="E100" s="40"/>
      <c r="F100" s="69">
        <f t="shared" si="29"/>
        <v>14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1"/>
      <c r="AR100" s="41"/>
    </row>
    <row r="101" ht="14.25" customHeight="1">
      <c r="A101" s="41"/>
      <c r="B101" s="51" t="s">
        <v>3</v>
      </c>
      <c r="C101" s="57" t="str">
        <f>VLOOKUP($B$101,Form_PrimeiraFase!$C$2:$FB$69,156,FALSE)</f>
        <v>Barcelona</v>
      </c>
      <c r="D101" s="40">
        <f t="shared" si="28"/>
        <v>0</v>
      </c>
      <c r="E101" s="40"/>
      <c r="F101" s="69">
        <f t="shared" si="29"/>
        <v>11.5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1"/>
      <c r="AR101" s="41"/>
    </row>
    <row r="102" ht="14.25" customHeight="1">
      <c r="A102" s="41"/>
      <c r="B102" s="51" t="s">
        <v>13</v>
      </c>
      <c r="C102" s="57" t="str">
        <f>VLOOKUP($B$102,Form_PrimeiraFase!$C$2:$FB$69,156,FALSE)</f>
        <v>Barcelona</v>
      </c>
      <c r="D102" s="40">
        <f t="shared" si="28"/>
        <v>0</v>
      </c>
      <c r="E102" s="40"/>
      <c r="F102" s="69">
        <f t="shared" si="29"/>
        <v>11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1"/>
      <c r="AR102" s="41"/>
    </row>
    <row r="103" ht="14.25" customHeight="1">
      <c r="A103" s="41"/>
      <c r="B103" s="51" t="s">
        <v>14</v>
      </c>
      <c r="C103" s="57" t="str">
        <f>VLOOKUP($B$103,Form_PrimeiraFase!$C$2:$FB$69,156,FALSE)</f>
        <v>Barcelona</v>
      </c>
      <c r="D103" s="40">
        <f t="shared" si="28"/>
        <v>0</v>
      </c>
      <c r="E103" s="40"/>
      <c r="F103" s="69">
        <f t="shared" si="29"/>
        <v>12</v>
      </c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1"/>
      <c r="AR103" s="41"/>
    </row>
    <row r="104" ht="14.25" customHeight="1">
      <c r="A104" s="41"/>
      <c r="B104" s="51" t="s">
        <v>6</v>
      </c>
      <c r="C104" s="57" t="str">
        <f>VLOOKUP($B$104,Form_PrimeiraFase!$C$2:$FB$69,156,FALSE)</f>
        <v>Barcelona</v>
      </c>
      <c r="D104" s="40">
        <f t="shared" si="28"/>
        <v>0</v>
      </c>
      <c r="E104" s="40"/>
      <c r="F104" s="69">
        <f t="shared" si="29"/>
        <v>13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1"/>
      <c r="AR104" s="41"/>
    </row>
    <row r="105" ht="14.25" customHeight="1">
      <c r="A105" s="41"/>
      <c r="B105" s="51" t="s">
        <v>5</v>
      </c>
      <c r="C105" s="57" t="str">
        <f>VLOOKUP($B$105,Form_PrimeiraFase!$C$2:$FB$69,156,FALSE)</f>
        <v>Liverpool</v>
      </c>
      <c r="D105" s="40">
        <f t="shared" si="28"/>
        <v>0</v>
      </c>
      <c r="E105" s="40"/>
      <c r="F105" s="69">
        <f t="shared" si="29"/>
        <v>10.5</v>
      </c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1"/>
      <c r="AR105" s="41"/>
    </row>
    <row r="106" ht="14.25" customHeight="1">
      <c r="A106" s="41"/>
      <c r="B106" s="51" t="s">
        <v>4</v>
      </c>
      <c r="C106" s="57" t="str">
        <f>VLOOKUP($B$106,Form_PrimeiraFase!$C$2:$FB$69,156,FALSE)</f>
        <v>Barcelona</v>
      </c>
      <c r="D106" s="40">
        <f t="shared" si="28"/>
        <v>0</v>
      </c>
      <c r="E106" s="40"/>
      <c r="F106" s="69">
        <f t="shared" si="29"/>
        <v>20.5</v>
      </c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1"/>
      <c r="AR106" s="41"/>
    </row>
    <row r="107" ht="14.25" customHeight="1">
      <c r="A107" s="41"/>
      <c r="B107" s="51" t="s">
        <v>18</v>
      </c>
      <c r="C107" s="57" t="str">
        <f>VLOOKUP($B$107,Form_PrimeiraFase!$C$2:$FB$69,156,FALSE)</f>
        <v>Barcelona</v>
      </c>
      <c r="D107" s="40">
        <f t="shared" si="28"/>
        <v>0</v>
      </c>
      <c r="E107" s="40"/>
      <c r="F107" s="69">
        <f t="shared" si="29"/>
        <v>12</v>
      </c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1"/>
      <c r="AR107" s="41"/>
    </row>
    <row r="108" ht="14.25" customHeight="1">
      <c r="A108" s="41"/>
      <c r="B108" s="51" t="s">
        <v>2</v>
      </c>
      <c r="C108" s="57" t="str">
        <f>VLOOKUP($B$108,Form_PrimeiraFase!$C$2:$FB$69,156,FALSE)</f>
        <v>Real Madrid</v>
      </c>
      <c r="D108" s="40">
        <f t="shared" si="28"/>
        <v>1</v>
      </c>
      <c r="E108" s="40"/>
      <c r="F108" s="69">
        <f t="shared" si="29"/>
        <v>12.5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1"/>
      <c r="AR108" s="41"/>
    </row>
    <row r="109" ht="14.25" customHeight="1">
      <c r="A109" s="41"/>
      <c r="B109" s="51" t="s">
        <v>15</v>
      </c>
      <c r="C109" s="57" t="str">
        <f>VLOOKUP($B$109,Form_PrimeiraFase!$C$2:$FB$69,156,FALSE)</f>
        <v>Barcelona</v>
      </c>
      <c r="D109" s="40">
        <f t="shared" si="28"/>
        <v>0</v>
      </c>
      <c r="E109" s="40"/>
      <c r="F109" s="69">
        <f t="shared" si="29"/>
        <v>10.5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1"/>
      <c r="AR109" s="41"/>
    </row>
    <row r="110" ht="14.25" customHeight="1">
      <c r="A110" s="41"/>
      <c r="B110" s="51" t="s">
        <v>12</v>
      </c>
      <c r="C110" s="57" t="str">
        <f>VLOOKUP($B$110,Form_PrimeiraFase!$C$2:$FB$69,156,FALSE)</f>
        <v>Liverpool</v>
      </c>
      <c r="D110" s="40">
        <f t="shared" si="28"/>
        <v>0</v>
      </c>
      <c r="E110" s="40"/>
      <c r="F110" s="69">
        <f t="shared" si="29"/>
        <v>13</v>
      </c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1"/>
      <c r="AR110" s="41"/>
    </row>
    <row r="111" ht="14.25" customHeight="1">
      <c r="A111" s="41"/>
      <c r="B111" s="51" t="s">
        <v>8</v>
      </c>
      <c r="C111" s="57" t="str">
        <f>VLOOKUP($B$111,Form_PrimeiraFase!$C$2:$FB$69,156,FALSE)</f>
        <v>Chelsea</v>
      </c>
      <c r="D111" s="40">
        <f t="shared" si="28"/>
        <v>0</v>
      </c>
      <c r="E111" s="40"/>
      <c r="F111" s="69">
        <f t="shared" si="29"/>
        <v>13.5</v>
      </c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1"/>
      <c r="AR111" s="41"/>
    </row>
    <row r="112" ht="14.25" customHeight="1">
      <c r="A112" s="41"/>
      <c r="B112" s="51" t="s">
        <v>16</v>
      </c>
      <c r="C112" s="57" t="str">
        <f>VLOOKUP($B$112,Form_PrimeiraFase!$C$2:$FB$69,156,FALSE)</f>
        <v>Barcelona</v>
      </c>
      <c r="D112" s="40">
        <f t="shared" si="28"/>
        <v>0</v>
      </c>
      <c r="E112" s="40"/>
      <c r="F112" s="69">
        <f t="shared" si="29"/>
        <v>11</v>
      </c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1"/>
      <c r="AR112" s="41"/>
    </row>
    <row r="113" ht="14.25" customHeight="1">
      <c r="A113" s="41"/>
      <c r="B113" s="51" t="s">
        <v>11</v>
      </c>
      <c r="C113" s="57" t="str">
        <f>VLOOKUP($B$113,Form_PrimeiraFase!$C$2:$FB$69,156,FALSE)</f>
        <v>Barcelona</v>
      </c>
      <c r="D113" s="40">
        <f t="shared" si="28"/>
        <v>0</v>
      </c>
      <c r="E113" s="40"/>
      <c r="F113" s="69">
        <f t="shared" si="29"/>
        <v>12.5</v>
      </c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1"/>
      <c r="AR113" s="41"/>
    </row>
    <row r="114" ht="14.25" customHeight="1">
      <c r="A114" s="41"/>
      <c r="B114" s="51" t="s">
        <v>7</v>
      </c>
      <c r="C114" s="57" t="str">
        <f>VLOOKUP($B$114,Form_PrimeiraFase!$C$2:$FB$69,156,FALSE)</f>
        <v>Barcelona</v>
      </c>
      <c r="D114" s="40">
        <f t="shared" si="28"/>
        <v>0</v>
      </c>
      <c r="E114" s="40"/>
      <c r="F114" s="69">
        <f t="shared" si="29"/>
        <v>12</v>
      </c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1"/>
      <c r="AR114" s="41"/>
    </row>
    <row r="115" ht="14.25" customHeight="1">
      <c r="A115" s="41"/>
      <c r="B115" s="51" t="s">
        <v>19</v>
      </c>
      <c r="C115" s="57" t="str">
        <f>VLOOKUP($B$115,Form_PrimeiraFase!$C$2:$FB$69,156,FALSE)</f>
        <v>Paris Saint-Germain</v>
      </c>
      <c r="D115" s="40">
        <f t="shared" si="28"/>
        <v>1</v>
      </c>
      <c r="E115" s="40"/>
      <c r="F115" s="69">
        <f t="shared" si="29"/>
        <v>15.5</v>
      </c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1"/>
      <c r="AR115" s="41"/>
    </row>
    <row r="116" ht="14.25" customHeight="1">
      <c r="A116" s="41"/>
      <c r="B116" s="51" t="s">
        <v>20</v>
      </c>
      <c r="C116" s="57" t="str">
        <f>VLOOKUP($B$116,Form_PrimeiraFase!$C$2:$FB$69,156,FALSE)</f>
        <v>Barcelona</v>
      </c>
      <c r="D116" s="40">
        <f t="shared" si="28"/>
        <v>0</v>
      </c>
      <c r="E116" s="40"/>
      <c r="F116" s="69">
        <f t="shared" si="29"/>
        <v>17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1"/>
      <c r="AR116" s="41"/>
    </row>
    <row r="117" ht="14.25" customHeight="1">
      <c r="A117" s="41"/>
      <c r="B117" s="51" t="s">
        <v>21</v>
      </c>
      <c r="C117" s="57" t="str">
        <f>VLOOKUP($B$117,Form_PrimeiraFase!$C$2:$FB$69,156,FALSE)</f>
        <v>Liverpool</v>
      </c>
      <c r="D117" s="40">
        <f t="shared" si="28"/>
        <v>0</v>
      </c>
      <c r="E117" s="40"/>
      <c r="F117" s="69">
        <f t="shared" si="29"/>
        <v>16</v>
      </c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1"/>
      <c r="AR117" s="41"/>
    </row>
    <row r="118" ht="14.25" customHeight="1">
      <c r="A118" s="41"/>
      <c r="B118" s="51" t="s">
        <v>22</v>
      </c>
      <c r="C118" s="57" t="str">
        <f>VLOOKUP($B$118,Form_PrimeiraFase!$C$2:$FB$69,156,FALSE)</f>
        <v>Barcelona</v>
      </c>
      <c r="D118" s="40">
        <f t="shared" si="28"/>
        <v>0</v>
      </c>
      <c r="E118" s="40"/>
      <c r="F118" s="69">
        <f t="shared" si="29"/>
        <v>15</v>
      </c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1"/>
      <c r="AR118" s="41"/>
    </row>
    <row r="119" ht="14.25" customHeight="1">
      <c r="A119" s="41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1"/>
      <c r="AR119" s="41"/>
    </row>
    <row r="120" ht="14.25" customHeight="1">
      <c r="A120" s="41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1"/>
      <c r="AR120" s="41"/>
    </row>
    <row r="121" ht="14.25" customHeight="1">
      <c r="A121" s="4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1"/>
      <c r="AR121" s="41"/>
    </row>
    <row r="122" ht="14.25" customHeight="1">
      <c r="A122" s="4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1"/>
      <c r="AR122" s="41"/>
    </row>
    <row r="123" ht="14.25" customHeight="1">
      <c r="A123" s="41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1"/>
      <c r="AR123" s="41"/>
    </row>
    <row r="124" ht="14.25" customHeight="1">
      <c r="A124" s="4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/>
      <c r="AR124" s="41"/>
    </row>
    <row r="125" ht="14.25" customHeight="1">
      <c r="A125" s="41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1"/>
      <c r="AR125" s="41"/>
    </row>
    <row r="126" ht="14.25" customHeight="1">
      <c r="A126" s="41"/>
      <c r="B126" s="40"/>
      <c r="D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1"/>
      <c r="AR126" s="41"/>
    </row>
    <row r="127" ht="14.25" customHeight="1">
      <c r="A127" s="41"/>
      <c r="B127" s="40"/>
      <c r="D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1"/>
      <c r="AR127" s="41"/>
    </row>
    <row r="128" ht="14.25" customHeight="1">
      <c r="A128" s="41"/>
      <c r="B128" s="40"/>
      <c r="D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1"/>
      <c r="AR128" s="41"/>
    </row>
    <row r="129" ht="14.25" customHeight="1">
      <c r="A129" s="41"/>
      <c r="B129" s="40"/>
      <c r="D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1"/>
      <c r="AR129" s="41"/>
    </row>
    <row r="130" ht="14.25" customHeight="1">
      <c r="A130" s="41"/>
      <c r="B130" s="40"/>
      <c r="D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1"/>
      <c r="AR130" s="41"/>
    </row>
    <row r="131" ht="14.25" customHeight="1">
      <c r="A131" s="41"/>
      <c r="B131" s="40"/>
      <c r="D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1"/>
      <c r="AR131" s="41"/>
    </row>
    <row r="132" ht="14.25" customHeight="1">
      <c r="A132" s="41"/>
      <c r="B132" s="40"/>
      <c r="D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1"/>
      <c r="AR132" s="41"/>
    </row>
    <row r="133" ht="14.25" customHeight="1">
      <c r="A133" s="41"/>
      <c r="B133" s="40"/>
      <c r="D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1"/>
      <c r="AR133" s="41"/>
    </row>
    <row r="134" ht="14.25" customHeight="1">
      <c r="A134" s="41"/>
      <c r="B134" s="40"/>
      <c r="D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1"/>
      <c r="AR134" s="41"/>
    </row>
    <row r="135" ht="14.25" customHeight="1">
      <c r="A135" s="41"/>
      <c r="B135" s="40"/>
      <c r="D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1"/>
      <c r="AR135" s="41"/>
    </row>
    <row r="136" ht="14.25" customHeight="1">
      <c r="A136" s="41"/>
      <c r="B136" s="40"/>
      <c r="D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1"/>
      <c r="AR136" s="41"/>
    </row>
    <row r="137" ht="14.25" customHeight="1">
      <c r="A137" s="41"/>
      <c r="B137" s="40"/>
      <c r="D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1"/>
      <c r="AR137" s="41"/>
    </row>
    <row r="138" ht="14.25" customHeight="1">
      <c r="A138" s="41"/>
      <c r="B138" s="40"/>
      <c r="D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1"/>
      <c r="AR138" s="41"/>
    </row>
    <row r="139" ht="14.25" customHeight="1">
      <c r="A139" s="41"/>
      <c r="B139" s="40"/>
      <c r="D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1"/>
      <c r="AR139" s="41"/>
    </row>
    <row r="140" ht="14.25" customHeight="1">
      <c r="A140" s="41"/>
      <c r="B140" s="40"/>
      <c r="D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1"/>
      <c r="AR140" s="41"/>
    </row>
    <row r="141" ht="14.25" customHeight="1">
      <c r="A141" s="41"/>
      <c r="B141" s="40"/>
      <c r="D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1"/>
      <c r="AR141" s="41"/>
    </row>
    <row r="142" ht="14.25" customHeight="1">
      <c r="A142" s="41"/>
      <c r="B142" s="40"/>
      <c r="D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1"/>
      <c r="AR142" s="41"/>
    </row>
    <row r="143" ht="14.25" customHeight="1">
      <c r="A143" s="41"/>
      <c r="B143" s="40"/>
      <c r="D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1"/>
      <c r="AR143" s="41"/>
    </row>
    <row r="144" ht="14.25" customHeight="1">
      <c r="A144" s="41"/>
      <c r="B144" s="40"/>
      <c r="D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1"/>
      <c r="AR144" s="41"/>
    </row>
    <row r="145" ht="14.25" customHeight="1">
      <c r="A145" s="41"/>
      <c r="B145" s="40"/>
      <c r="D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1"/>
      <c r="AR145" s="41"/>
    </row>
    <row r="146" ht="14.25" customHeight="1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1"/>
      <c r="AR146" s="41"/>
    </row>
    <row r="147" ht="14.25" customHeight="1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1"/>
      <c r="AR147" s="41"/>
    </row>
    <row r="148" ht="14.25" customHeight="1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1"/>
      <c r="AR148" s="41"/>
    </row>
    <row r="149" ht="14.25" customHeight="1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1"/>
      <c r="AR149" s="41"/>
    </row>
    <row r="150" ht="14.25" customHeight="1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1"/>
      <c r="AR150" s="41"/>
    </row>
    <row r="151" ht="14.25" customHeight="1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1"/>
      <c r="AR151" s="41"/>
    </row>
    <row r="152" ht="14.25" customHeight="1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1"/>
      <c r="AR152" s="41"/>
    </row>
    <row r="153" ht="14.25" customHeight="1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1"/>
      <c r="AR153" s="41"/>
    </row>
    <row r="154" ht="14.25" customHeight="1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1"/>
      <c r="AR154" s="41"/>
    </row>
    <row r="155" ht="14.25" customHeight="1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1"/>
      <c r="AR155" s="41"/>
    </row>
    <row r="156" ht="14.25" customHeight="1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1"/>
      <c r="AR156" s="41"/>
    </row>
    <row r="157" ht="14.25" customHeight="1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1"/>
      <c r="AR157" s="41"/>
    </row>
    <row r="158" ht="14.25" customHeight="1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1"/>
      <c r="AR158" s="41"/>
    </row>
    <row r="159" ht="14.25" customHeight="1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1"/>
      <c r="AR159" s="41"/>
    </row>
    <row r="160" ht="14.25" customHeight="1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1"/>
      <c r="AR160" s="41"/>
    </row>
    <row r="161" ht="14.25" customHeight="1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1"/>
      <c r="AR161" s="41"/>
    </row>
    <row r="162" ht="14.25" customHeight="1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1"/>
      <c r="AR162" s="41"/>
    </row>
    <row r="163" ht="14.25" customHeight="1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1"/>
      <c r="AR163" s="41"/>
    </row>
    <row r="164" ht="14.25" customHeight="1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1"/>
      <c r="AR164" s="41"/>
    </row>
    <row r="165" ht="14.25" customHeight="1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1"/>
      <c r="AR165" s="41"/>
    </row>
    <row r="166" ht="14.25" customHeight="1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1"/>
      <c r="AR166" s="41"/>
    </row>
    <row r="167" ht="14.25" customHeight="1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1"/>
      <c r="AR167" s="41"/>
    </row>
    <row r="168" ht="14.25" customHeight="1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1"/>
      <c r="AR168" s="41"/>
    </row>
    <row r="169" ht="14.25" customHeight="1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1"/>
      <c r="AR169" s="41"/>
    </row>
    <row r="170" ht="14.25" customHeight="1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1"/>
      <c r="AR170" s="41"/>
    </row>
    <row r="171" ht="14.25" customHeight="1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1"/>
      <c r="AR171" s="41"/>
    </row>
    <row r="172" ht="14.25" customHeight="1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1"/>
      <c r="AR172" s="41"/>
    </row>
    <row r="173" ht="14.25" customHeight="1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1"/>
      <c r="AR173" s="41"/>
    </row>
    <row r="174" ht="14.25" customHeight="1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1"/>
      <c r="AR174" s="41"/>
    </row>
    <row r="175" ht="14.25" customHeight="1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1"/>
      <c r="AR175" s="41"/>
    </row>
    <row r="176" ht="14.25" customHeight="1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1"/>
      <c r="AR176" s="41"/>
    </row>
    <row r="177" ht="14.25" customHeight="1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1"/>
      <c r="AR177" s="41"/>
    </row>
    <row r="178" ht="14.25" customHeight="1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1"/>
      <c r="AR178" s="41"/>
    </row>
    <row r="179" ht="14.25" customHeight="1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1"/>
      <c r="AR179" s="41"/>
    </row>
    <row r="180" ht="14.25" customHeight="1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1"/>
      <c r="AR180" s="41"/>
    </row>
    <row r="181" ht="14.25" customHeight="1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1"/>
      <c r="AR181" s="41"/>
    </row>
    <row r="182" ht="14.25" customHeight="1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1"/>
      <c r="AR182" s="41"/>
    </row>
    <row r="183" ht="14.25" customHeight="1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1"/>
      <c r="AR183" s="41"/>
    </row>
    <row r="184" ht="14.25" customHeight="1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1"/>
      <c r="AR184" s="41"/>
    </row>
    <row r="185" ht="14.25" customHeight="1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1"/>
      <c r="AR185" s="41"/>
    </row>
    <row r="186" ht="14.25" customHeight="1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1"/>
      <c r="AR186" s="41"/>
    </row>
    <row r="187" ht="14.25" customHeight="1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1"/>
      <c r="AR187" s="41"/>
    </row>
    <row r="188" ht="14.25" customHeight="1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1"/>
      <c r="AR188" s="41"/>
    </row>
    <row r="189" ht="14.25" customHeight="1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1"/>
      <c r="AR189" s="41"/>
    </row>
    <row r="190" ht="14.25" customHeight="1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1"/>
      <c r="AR190" s="41"/>
    </row>
    <row r="191" ht="14.25" customHeight="1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1"/>
      <c r="AR191" s="41"/>
    </row>
    <row r="192" ht="14.25" customHeight="1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1"/>
      <c r="AR192" s="41"/>
    </row>
    <row r="193" ht="14.25" customHeight="1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1"/>
      <c r="AR193" s="41"/>
    </row>
    <row r="194" ht="14.25" customHeight="1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1"/>
      <c r="AR194" s="41"/>
    </row>
    <row r="195" ht="14.25" customHeight="1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1"/>
      <c r="AR195" s="41"/>
    </row>
    <row r="196" ht="14.25" customHeight="1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1"/>
      <c r="AR196" s="41"/>
    </row>
    <row r="197" ht="14.25" customHeight="1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1"/>
      <c r="AR197" s="41"/>
    </row>
    <row r="198" ht="14.25" customHeight="1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1"/>
      <c r="AR198" s="41"/>
    </row>
    <row r="199" ht="14.25" customHeight="1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1"/>
      <c r="AR199" s="41"/>
    </row>
    <row r="200" ht="14.25" customHeight="1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1"/>
      <c r="AR200" s="41"/>
    </row>
    <row r="201" ht="14.25" customHeight="1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1"/>
      <c r="AR201" s="41"/>
    </row>
    <row r="202" ht="14.25" customHeight="1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1"/>
      <c r="AR202" s="41"/>
    </row>
    <row r="203" ht="14.25" customHeight="1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1"/>
      <c r="AR203" s="41"/>
    </row>
    <row r="204" ht="14.25" customHeight="1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1"/>
      <c r="AR204" s="41"/>
    </row>
    <row r="205" ht="14.25" customHeight="1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1"/>
      <c r="AR205" s="41"/>
    </row>
    <row r="206" ht="14.25" customHeight="1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1"/>
      <c r="AR206" s="41"/>
    </row>
    <row r="207" ht="14.25" customHeight="1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1"/>
      <c r="AR207" s="41"/>
    </row>
    <row r="208" ht="14.25" customHeight="1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1"/>
      <c r="AR208" s="41"/>
    </row>
    <row r="209" ht="14.25" customHeight="1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1"/>
      <c r="AR209" s="41"/>
    </row>
    <row r="210" ht="14.25" customHeight="1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1"/>
      <c r="AR210" s="41"/>
    </row>
    <row r="211" ht="14.25" customHeight="1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1"/>
      <c r="AR211" s="41"/>
    </row>
    <row r="212" ht="14.25" customHeight="1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1"/>
      <c r="AR212" s="41"/>
    </row>
    <row r="213" ht="14.25" customHeight="1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1"/>
      <c r="AR213" s="41"/>
    </row>
    <row r="214" ht="14.25" customHeight="1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1"/>
      <c r="AR214" s="41"/>
    </row>
    <row r="215" ht="14.25" customHeight="1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1"/>
      <c r="AR215" s="41"/>
    </row>
    <row r="216" ht="14.25" customHeight="1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1"/>
      <c r="AR216" s="41"/>
    </row>
    <row r="217" ht="14.25" customHeight="1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1"/>
      <c r="AR217" s="41"/>
    </row>
    <row r="218" ht="14.25" customHeight="1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1"/>
      <c r="AR218" s="41"/>
    </row>
    <row r="219" ht="14.25" customHeight="1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1"/>
      <c r="AR219" s="41"/>
    </row>
    <row r="220" ht="14.25" customHeight="1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1"/>
      <c r="AR220" s="41"/>
    </row>
    <row r="221" ht="14.25" customHeight="1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1"/>
      <c r="AR221" s="41"/>
    </row>
    <row r="222" ht="14.25" customHeight="1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1"/>
      <c r="AR222" s="41"/>
    </row>
    <row r="223" ht="14.25" customHeight="1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1"/>
      <c r="AR223" s="41"/>
    </row>
    <row r="224" ht="14.25" customHeight="1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1"/>
      <c r="AR224" s="41"/>
    </row>
    <row r="225" ht="14.25" customHeight="1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1"/>
      <c r="AR225" s="41"/>
    </row>
    <row r="226" ht="14.25" customHeight="1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1"/>
      <c r="AR226" s="41"/>
    </row>
    <row r="227" ht="14.25" customHeight="1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1"/>
      <c r="AR227" s="41"/>
    </row>
    <row r="228" ht="14.25" customHeight="1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1"/>
      <c r="AR228" s="41"/>
    </row>
    <row r="229" ht="14.25" customHeight="1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1"/>
      <c r="AR229" s="41"/>
    </row>
    <row r="230" ht="14.25" customHeight="1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1"/>
      <c r="AR230" s="41"/>
    </row>
    <row r="231" ht="14.25" customHeight="1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1"/>
      <c r="AR231" s="41"/>
    </row>
    <row r="232" ht="14.25" customHeight="1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1"/>
      <c r="AR232" s="41"/>
    </row>
    <row r="233" ht="14.25" customHeight="1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1"/>
      <c r="AR233" s="41"/>
    </row>
    <row r="234" ht="14.25" customHeight="1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1"/>
      <c r="AR234" s="41"/>
    </row>
    <row r="235" ht="14.25" customHeight="1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1"/>
      <c r="AR235" s="41"/>
    </row>
    <row r="236" ht="14.25" customHeight="1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1"/>
      <c r="AR236" s="41"/>
    </row>
    <row r="237" ht="14.25" customHeight="1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1"/>
      <c r="AR237" s="41"/>
    </row>
    <row r="238" ht="14.25" customHeight="1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1"/>
      <c r="AR238" s="41"/>
    </row>
    <row r="239" ht="14.25" customHeight="1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1"/>
      <c r="AR239" s="41"/>
    </row>
    <row r="240" ht="14.25" customHeight="1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1"/>
      <c r="AR240" s="41"/>
    </row>
    <row r="241" ht="14.25" customHeight="1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1"/>
      <c r="AR241" s="41"/>
    </row>
    <row r="242" ht="14.25" customHeight="1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1"/>
      <c r="AR242" s="41"/>
    </row>
    <row r="243" ht="14.25" customHeight="1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1"/>
      <c r="AR243" s="41"/>
    </row>
    <row r="244" ht="14.25" customHeight="1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1"/>
      <c r="AR244" s="41"/>
    </row>
    <row r="245" ht="14.25" customHeight="1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1"/>
      <c r="AR245" s="41"/>
    </row>
    <row r="246" ht="14.25" customHeight="1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1"/>
      <c r="AR246" s="41"/>
    </row>
    <row r="247" ht="14.25" customHeight="1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1"/>
      <c r="AR247" s="41"/>
    </row>
    <row r="248" ht="14.25" customHeight="1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1"/>
      <c r="AR248" s="41"/>
    </row>
    <row r="249" ht="14.25" customHeight="1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1"/>
      <c r="AR249" s="41"/>
    </row>
    <row r="250" ht="14.25" customHeight="1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1"/>
      <c r="AR250" s="41"/>
    </row>
    <row r="251" ht="14.25" customHeight="1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1"/>
      <c r="AR251" s="41"/>
    </row>
    <row r="252" ht="14.25" customHeight="1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1"/>
      <c r="AR252" s="41"/>
    </row>
    <row r="253" ht="14.25" customHeight="1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1"/>
      <c r="AR253" s="41"/>
    </row>
    <row r="254" ht="14.25" customHeight="1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1"/>
      <c r="AR254" s="41"/>
    </row>
    <row r="255" ht="14.25" customHeight="1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1"/>
      <c r="AR255" s="41"/>
    </row>
    <row r="256" ht="14.25" customHeight="1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1"/>
      <c r="AR256" s="41"/>
    </row>
    <row r="257" ht="14.25" customHeight="1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1"/>
      <c r="AR257" s="41"/>
    </row>
    <row r="258" ht="14.25" customHeight="1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1"/>
      <c r="AR258" s="41"/>
    </row>
    <row r="259" ht="14.25" customHeight="1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1"/>
      <c r="AR259" s="41"/>
    </row>
    <row r="260" ht="14.25" customHeight="1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1"/>
      <c r="AR260" s="41"/>
    </row>
    <row r="261" ht="14.25" customHeight="1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1"/>
      <c r="AR261" s="41"/>
    </row>
    <row r="262" ht="14.25" customHeight="1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1"/>
      <c r="AR262" s="41"/>
    </row>
    <row r="263" ht="14.25" customHeight="1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1"/>
      <c r="AR263" s="41"/>
    </row>
    <row r="264" ht="14.25" customHeight="1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1"/>
      <c r="AR264" s="41"/>
    </row>
    <row r="265" ht="14.25" customHeight="1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1"/>
      <c r="AR265" s="41"/>
    </row>
    <row r="266" ht="14.25" customHeight="1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1"/>
      <c r="AR266" s="41"/>
    </row>
    <row r="267" ht="14.25" customHeight="1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1"/>
      <c r="AR267" s="41"/>
    </row>
    <row r="268" ht="14.25" customHeight="1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1"/>
      <c r="AR268" s="41"/>
    </row>
    <row r="269" ht="14.25" customHeight="1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1"/>
      <c r="AR269" s="41"/>
    </row>
    <row r="270" ht="14.25" customHeight="1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1"/>
      <c r="AR270" s="41"/>
    </row>
    <row r="271" ht="14.25" customHeight="1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1"/>
      <c r="AR271" s="41"/>
    </row>
    <row r="272" ht="14.25" customHeight="1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1"/>
      <c r="AR272" s="41"/>
    </row>
    <row r="273" ht="14.25" customHeight="1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1"/>
      <c r="AR273" s="41"/>
    </row>
    <row r="274" ht="14.25" customHeight="1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1"/>
      <c r="AR274" s="41"/>
    </row>
    <row r="275" ht="14.25" customHeight="1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1"/>
      <c r="AR275" s="41"/>
    </row>
    <row r="276" ht="14.25" customHeight="1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1"/>
      <c r="AR276" s="41"/>
    </row>
    <row r="277" ht="14.25" customHeight="1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1"/>
      <c r="AR277" s="41"/>
    </row>
    <row r="278" ht="14.25" customHeight="1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1"/>
      <c r="AR278" s="41"/>
    </row>
    <row r="279" ht="14.25" customHeight="1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1"/>
      <c r="AR279" s="41"/>
    </row>
    <row r="280" ht="14.25" customHeight="1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1"/>
      <c r="AR280" s="41"/>
    </row>
    <row r="281" ht="14.25" customHeight="1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1"/>
      <c r="AR281" s="41"/>
    </row>
    <row r="282" ht="14.25" customHeight="1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1"/>
      <c r="AR282" s="41"/>
    </row>
    <row r="283" ht="14.25" customHeight="1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1"/>
      <c r="AR283" s="41"/>
    </row>
    <row r="284" ht="14.25" customHeight="1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1"/>
      <c r="AR284" s="41"/>
    </row>
    <row r="285" ht="14.25" customHeight="1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1"/>
      <c r="AR285" s="41"/>
    </row>
    <row r="286" ht="14.25" customHeight="1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1"/>
      <c r="AR286" s="41"/>
    </row>
    <row r="287" ht="14.25" customHeight="1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1"/>
      <c r="AR287" s="41"/>
    </row>
    <row r="288" ht="14.25" customHeight="1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1"/>
      <c r="AR288" s="41"/>
    </row>
    <row r="289" ht="14.25" customHeight="1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1"/>
      <c r="AR289" s="41"/>
    </row>
    <row r="290" ht="14.25" customHeight="1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1"/>
      <c r="AR290" s="41"/>
    </row>
    <row r="291" ht="14.25" customHeight="1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1"/>
      <c r="AR291" s="41"/>
    </row>
    <row r="292" ht="14.25" customHeight="1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1"/>
      <c r="AR292" s="41"/>
    </row>
    <row r="293" ht="14.25" customHeight="1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1"/>
      <c r="AR293" s="41"/>
    </row>
    <row r="294" ht="14.25" customHeight="1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1"/>
      <c r="AR294" s="41"/>
    </row>
    <row r="295" ht="14.25" customHeight="1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1"/>
      <c r="AR295" s="41"/>
    </row>
    <row r="296" ht="14.25" customHeight="1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1"/>
      <c r="AR296" s="41"/>
    </row>
    <row r="297" ht="14.25" customHeight="1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1"/>
      <c r="AR297" s="41"/>
    </row>
    <row r="298" ht="14.25" customHeight="1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1"/>
      <c r="AR298" s="41"/>
    </row>
    <row r="299" ht="14.25" customHeight="1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1"/>
      <c r="AR299" s="41"/>
    </row>
    <row r="300" ht="14.25" customHeight="1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1"/>
      <c r="AR300" s="41"/>
    </row>
    <row r="301" ht="14.25" customHeight="1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1"/>
      <c r="AR301" s="41"/>
    </row>
    <row r="302" ht="14.25" customHeight="1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1"/>
      <c r="AR302" s="41"/>
    </row>
    <row r="303" ht="14.25" customHeight="1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1"/>
      <c r="AR303" s="41"/>
    </row>
    <row r="304" ht="14.25" customHeight="1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1"/>
      <c r="AR304" s="41"/>
    </row>
    <row r="305" ht="14.25" customHeight="1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1"/>
      <c r="AR305" s="41"/>
    </row>
    <row r="306" ht="14.25" customHeight="1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1"/>
      <c r="AR306" s="41"/>
    </row>
    <row r="307" ht="14.25" customHeight="1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1"/>
      <c r="AR307" s="41"/>
    </row>
    <row r="308" ht="14.25" customHeight="1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1"/>
      <c r="AR308" s="41"/>
    </row>
    <row r="309" ht="14.25" customHeight="1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1"/>
      <c r="AR309" s="41"/>
    </row>
    <row r="310" ht="14.25" customHeight="1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1"/>
      <c r="AR310" s="41"/>
    </row>
    <row r="311" ht="14.25" customHeight="1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1"/>
      <c r="AR311" s="41"/>
    </row>
    <row r="312" ht="14.25" customHeight="1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1"/>
      <c r="AR312" s="41"/>
    </row>
    <row r="313" ht="14.25" customHeight="1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1"/>
      <c r="AR313" s="41"/>
    </row>
    <row r="314" ht="14.25" customHeight="1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1"/>
      <c r="AR314" s="41"/>
    </row>
    <row r="315" ht="14.25" customHeight="1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1"/>
      <c r="AR315" s="41"/>
    </row>
    <row r="316" ht="14.25" customHeight="1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1"/>
      <c r="AR316" s="41"/>
    </row>
    <row r="317" ht="14.25" customHeight="1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1"/>
      <c r="AR317" s="41"/>
    </row>
    <row r="318" ht="14.25" customHeight="1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1"/>
      <c r="AR318" s="41"/>
    </row>
    <row r="319" ht="14.25" customHeight="1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1"/>
      <c r="AR319" s="41"/>
    </row>
    <row r="320" ht="14.25" customHeight="1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1"/>
      <c r="AR320" s="41"/>
    </row>
    <row r="321" ht="14.25" customHeight="1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1"/>
      <c r="AR321" s="41"/>
    </row>
    <row r="322" ht="14.25" customHeight="1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1"/>
      <c r="AR322" s="41"/>
    </row>
    <row r="323" ht="14.25" customHeight="1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1"/>
      <c r="AR323" s="41"/>
    </row>
    <row r="324" ht="14.25" customHeight="1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1"/>
      <c r="AR324" s="41"/>
    </row>
    <row r="325" ht="14.25" customHeight="1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1"/>
      <c r="AR325" s="41"/>
    </row>
    <row r="326" ht="14.25" customHeight="1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1"/>
      <c r="AR326" s="41"/>
    </row>
    <row r="327" ht="14.25" customHeight="1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1"/>
      <c r="AR327" s="41"/>
    </row>
    <row r="328" ht="14.25" customHeight="1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1"/>
      <c r="AR328" s="41"/>
    </row>
    <row r="329" ht="14.25" customHeight="1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1"/>
      <c r="AR329" s="41"/>
    </row>
    <row r="330" ht="14.25" customHeight="1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1"/>
      <c r="AR330" s="41"/>
    </row>
    <row r="331" ht="14.25" customHeight="1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1"/>
      <c r="AR331" s="41"/>
    </row>
    <row r="332" ht="14.25" customHeight="1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1"/>
      <c r="AR332" s="41"/>
    </row>
    <row r="333" ht="14.25" customHeight="1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1"/>
      <c r="AR333" s="41"/>
    </row>
    <row r="334" ht="14.25" customHeight="1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1"/>
      <c r="AR334" s="41"/>
    </row>
    <row r="335" ht="14.25" customHeight="1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1"/>
      <c r="AR335" s="41"/>
    </row>
    <row r="336" ht="14.25" customHeight="1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1"/>
      <c r="AR336" s="41"/>
    </row>
    <row r="337" ht="14.25" customHeight="1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1"/>
      <c r="AR337" s="41"/>
    </row>
    <row r="338" ht="14.25" customHeight="1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1"/>
      <c r="AR338" s="41"/>
    </row>
    <row r="339" ht="14.25" customHeight="1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1"/>
      <c r="AR339" s="41"/>
    </row>
    <row r="340" ht="14.25" customHeight="1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1"/>
      <c r="AR340" s="41"/>
    </row>
    <row r="341" ht="14.25" customHeight="1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1"/>
      <c r="AR341" s="41"/>
    </row>
    <row r="342" ht="14.25" customHeight="1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1"/>
      <c r="AR342" s="41"/>
    </row>
    <row r="343" ht="14.25" customHeight="1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1"/>
      <c r="AR343" s="41"/>
    </row>
    <row r="344" ht="14.25" customHeight="1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1"/>
      <c r="AR344" s="41"/>
    </row>
    <row r="345" ht="14.25" customHeight="1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1"/>
      <c r="AR345" s="41"/>
    </row>
    <row r="346" ht="14.25" customHeight="1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1"/>
      <c r="AR346" s="41"/>
    </row>
    <row r="347" ht="14.25" customHeight="1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1"/>
      <c r="AR347" s="41"/>
    </row>
    <row r="348" ht="14.25" customHeight="1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1"/>
      <c r="AR348" s="41"/>
    </row>
    <row r="349" ht="14.25" customHeight="1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1"/>
      <c r="AR349" s="41"/>
    </row>
    <row r="350" ht="14.25" customHeight="1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1"/>
      <c r="AR350" s="41"/>
    </row>
    <row r="351" ht="14.25" customHeight="1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1"/>
      <c r="AR351" s="41"/>
    </row>
    <row r="352" ht="14.25" customHeight="1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1"/>
      <c r="AR352" s="41"/>
    </row>
    <row r="353" ht="14.25" customHeight="1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1"/>
      <c r="AR353" s="41"/>
    </row>
    <row r="354" ht="14.25" customHeight="1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1"/>
      <c r="AR354" s="41"/>
    </row>
    <row r="355" ht="14.25" customHeight="1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1"/>
      <c r="AR355" s="41"/>
    </row>
    <row r="356" ht="14.25" customHeight="1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1"/>
      <c r="AR356" s="41"/>
    </row>
    <row r="357" ht="14.25" customHeight="1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1"/>
      <c r="AR357" s="41"/>
    </row>
    <row r="358" ht="14.25" customHeight="1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1"/>
      <c r="AR358" s="41"/>
    </row>
    <row r="359" ht="14.25" customHeight="1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1"/>
      <c r="AR359" s="41"/>
    </row>
    <row r="360" ht="14.25" customHeight="1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1"/>
      <c r="AR360" s="41"/>
    </row>
    <row r="361" ht="14.25" customHeight="1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1"/>
      <c r="AR361" s="41"/>
    </row>
    <row r="362" ht="14.25" customHeight="1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1"/>
      <c r="AR362" s="41"/>
    </row>
    <row r="363" ht="14.25" customHeight="1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1"/>
      <c r="AR363" s="41"/>
    </row>
    <row r="364" ht="14.25" customHeight="1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1"/>
      <c r="AR364" s="41"/>
    </row>
    <row r="365" ht="14.25" customHeight="1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1"/>
      <c r="AR365" s="41"/>
    </row>
    <row r="366" ht="14.25" customHeight="1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1"/>
      <c r="AR366" s="41"/>
    </row>
    <row r="367" ht="14.25" customHeight="1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1"/>
      <c r="AR367" s="41"/>
    </row>
    <row r="368" ht="14.25" customHeight="1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1"/>
      <c r="AR368" s="41"/>
    </row>
    <row r="369" ht="14.25" customHeight="1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1"/>
      <c r="AR369" s="41"/>
    </row>
    <row r="370" ht="14.25" customHeight="1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1"/>
      <c r="AR370" s="41"/>
    </row>
    <row r="371" ht="14.25" customHeight="1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1"/>
      <c r="AR371" s="41"/>
    </row>
    <row r="372" ht="14.25" customHeight="1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1"/>
      <c r="AR372" s="41"/>
    </row>
    <row r="373" ht="14.25" customHeight="1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1"/>
      <c r="AR373" s="41"/>
    </row>
    <row r="374" ht="14.25" customHeight="1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1"/>
      <c r="AR374" s="41"/>
    </row>
    <row r="375" ht="14.25" customHeight="1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1"/>
      <c r="AR375" s="41"/>
    </row>
    <row r="376" ht="14.25" customHeight="1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1"/>
      <c r="AR376" s="41"/>
    </row>
    <row r="377" ht="14.25" customHeight="1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1"/>
      <c r="AR377" s="41"/>
    </row>
    <row r="378" ht="14.25" customHeight="1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1"/>
      <c r="AR378" s="41"/>
    </row>
    <row r="379" ht="14.25" customHeight="1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1"/>
      <c r="AR379" s="41"/>
    </row>
    <row r="380" ht="14.25" customHeight="1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1"/>
      <c r="AR380" s="41"/>
    </row>
    <row r="381" ht="14.25" customHeight="1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1"/>
      <c r="AR381" s="41"/>
    </row>
    <row r="382" ht="14.25" customHeight="1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1"/>
      <c r="AR382" s="41"/>
    </row>
    <row r="383" ht="14.25" customHeight="1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1"/>
      <c r="AR383" s="41"/>
    </row>
    <row r="384" ht="14.25" customHeight="1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1"/>
      <c r="AR384" s="41"/>
    </row>
    <row r="385" ht="14.25" customHeight="1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1"/>
      <c r="AR385" s="41"/>
    </row>
    <row r="386" ht="14.25" customHeight="1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1"/>
      <c r="AR386" s="41"/>
    </row>
    <row r="387" ht="14.25" customHeight="1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1"/>
      <c r="AR387" s="41"/>
    </row>
    <row r="388" ht="14.25" customHeight="1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1"/>
      <c r="AR388" s="41"/>
    </row>
    <row r="389" ht="14.25" customHeight="1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1"/>
      <c r="AR389" s="41"/>
    </row>
    <row r="390" ht="14.25" customHeight="1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1"/>
      <c r="AR390" s="41"/>
    </row>
    <row r="391" ht="14.25" customHeight="1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1"/>
      <c r="AR391" s="41"/>
    </row>
    <row r="392" ht="14.25" customHeight="1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1"/>
      <c r="AR392" s="41"/>
    </row>
    <row r="393" ht="14.25" customHeight="1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1"/>
      <c r="AR393" s="41"/>
    </row>
    <row r="394" ht="14.25" customHeight="1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1"/>
      <c r="AR394" s="41"/>
    </row>
    <row r="395" ht="14.25" customHeight="1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1"/>
      <c r="AR395" s="41"/>
    </row>
    <row r="396" ht="14.25" customHeight="1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1"/>
      <c r="AR396" s="41"/>
    </row>
    <row r="397" ht="14.25" customHeight="1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1"/>
      <c r="AR397" s="41"/>
    </row>
    <row r="398" ht="14.25" customHeight="1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1"/>
      <c r="AR398" s="41"/>
    </row>
    <row r="399" ht="14.25" customHeight="1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1"/>
      <c r="AR399" s="41"/>
    </row>
    <row r="400" ht="14.25" customHeight="1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1"/>
      <c r="AR400" s="41"/>
    </row>
    <row r="401" ht="14.25" customHeight="1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1"/>
      <c r="AR401" s="41"/>
    </row>
    <row r="402" ht="14.25" customHeight="1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1"/>
      <c r="AR402" s="41"/>
    </row>
    <row r="403" ht="14.25" customHeight="1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1"/>
      <c r="AR403" s="41"/>
    </row>
    <row r="404" ht="14.25" customHeight="1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1"/>
      <c r="AR404" s="41"/>
    </row>
    <row r="405" ht="14.25" customHeight="1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1"/>
      <c r="AR405" s="41"/>
    </row>
    <row r="406" ht="14.25" customHeight="1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1"/>
      <c r="AR406" s="41"/>
    </row>
    <row r="407" ht="14.25" customHeight="1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1"/>
      <c r="AR407" s="41"/>
    </row>
    <row r="408" ht="14.25" customHeight="1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1"/>
      <c r="AR408" s="41"/>
    </row>
    <row r="409" ht="14.25" customHeight="1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1"/>
      <c r="AR409" s="41"/>
    </row>
    <row r="410" ht="14.25" customHeight="1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1"/>
      <c r="AR410" s="41"/>
    </row>
    <row r="411" ht="14.25" customHeight="1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1"/>
      <c r="AR411" s="41"/>
    </row>
    <row r="412" ht="14.25" customHeight="1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1"/>
      <c r="AR412" s="41"/>
    </row>
    <row r="413" ht="14.25" customHeight="1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1"/>
      <c r="AR413" s="41"/>
    </row>
    <row r="414" ht="14.25" customHeight="1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1"/>
      <c r="AR414" s="41"/>
    </row>
    <row r="415" ht="14.25" customHeight="1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1"/>
      <c r="AR415" s="41"/>
    </row>
    <row r="416" ht="14.25" customHeight="1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1"/>
      <c r="AR416" s="41"/>
    </row>
    <row r="417" ht="14.25" customHeight="1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1"/>
      <c r="AR417" s="41"/>
    </row>
    <row r="418" ht="14.25" customHeight="1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1"/>
      <c r="AR418" s="41"/>
    </row>
    <row r="419" ht="14.25" customHeight="1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1"/>
      <c r="AR419" s="41"/>
    </row>
    <row r="420" ht="14.25" customHeight="1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1"/>
      <c r="AR420" s="41"/>
    </row>
    <row r="421" ht="14.25" customHeight="1">
      <c r="A421" s="41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1"/>
      <c r="AR421" s="41"/>
    </row>
    <row r="422" ht="14.25" customHeight="1">
      <c r="A422" s="41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1"/>
      <c r="AR422" s="41"/>
    </row>
    <row r="423" ht="14.25" customHeight="1">
      <c r="A423" s="41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1"/>
      <c r="AR423" s="41"/>
    </row>
    <row r="424" ht="14.25" customHeight="1">
      <c r="A424" s="41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1"/>
      <c r="AR424" s="41"/>
    </row>
    <row r="425" ht="14.25" customHeight="1">
      <c r="A425" s="41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1"/>
      <c r="AR425" s="41"/>
    </row>
    <row r="426" ht="14.25" customHeight="1">
      <c r="A426" s="41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1"/>
      <c r="AR426" s="41"/>
    </row>
    <row r="427" ht="14.25" customHeight="1">
      <c r="A427" s="41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1"/>
      <c r="AR427" s="41"/>
    </row>
    <row r="428" ht="14.25" customHeight="1">
      <c r="A428" s="41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1"/>
      <c r="AR428" s="41"/>
    </row>
    <row r="429" ht="14.25" customHeight="1">
      <c r="A429" s="41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1"/>
      <c r="AR429" s="41"/>
    </row>
    <row r="430" ht="14.25" customHeight="1">
      <c r="A430" s="41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1"/>
      <c r="AR430" s="41"/>
    </row>
    <row r="431" ht="14.25" customHeight="1">
      <c r="A431" s="41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1"/>
      <c r="AR431" s="41"/>
    </row>
    <row r="432" ht="14.25" customHeight="1">
      <c r="A432" s="41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1"/>
      <c r="AR432" s="41"/>
    </row>
    <row r="433" ht="14.25" customHeight="1">
      <c r="A433" s="41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1"/>
      <c r="AR433" s="41"/>
    </row>
    <row r="434" ht="14.25" customHeight="1">
      <c r="A434" s="41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1"/>
      <c r="AR434" s="41"/>
    </row>
    <row r="435" ht="14.25" customHeight="1">
      <c r="A435" s="41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1"/>
      <c r="AR435" s="41"/>
    </row>
    <row r="436" ht="14.25" customHeight="1">
      <c r="A436" s="41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1"/>
      <c r="AR436" s="41"/>
    </row>
    <row r="437" ht="14.25" customHeight="1">
      <c r="A437" s="41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1"/>
      <c r="AR437" s="41"/>
    </row>
    <row r="438" ht="14.25" customHeight="1">
      <c r="A438" s="41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1"/>
      <c r="AR438" s="41"/>
    </row>
    <row r="439" ht="14.25" customHeight="1">
      <c r="A439" s="41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1"/>
      <c r="AR439" s="41"/>
    </row>
    <row r="440" ht="14.25" customHeight="1">
      <c r="A440" s="41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1"/>
      <c r="AR440" s="41"/>
    </row>
    <row r="441" ht="14.25" customHeight="1">
      <c r="A441" s="41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1"/>
      <c r="AR441" s="41"/>
    </row>
    <row r="442" ht="14.25" customHeight="1">
      <c r="A442" s="41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1"/>
      <c r="AR442" s="41"/>
    </row>
    <row r="443" ht="14.25" customHeight="1">
      <c r="A443" s="41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1"/>
      <c r="AR443" s="41"/>
    </row>
    <row r="444" ht="14.25" customHeight="1">
      <c r="A444" s="41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1"/>
      <c r="AR444" s="41"/>
    </row>
    <row r="445" ht="14.25" customHeight="1">
      <c r="A445" s="41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1"/>
      <c r="AR445" s="41"/>
    </row>
    <row r="446" ht="14.25" customHeight="1">
      <c r="A446" s="41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1"/>
      <c r="AR446" s="41"/>
    </row>
    <row r="447" ht="14.25" customHeight="1">
      <c r="A447" s="41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1"/>
      <c r="AR447" s="41"/>
    </row>
    <row r="448" ht="14.25" customHeight="1">
      <c r="A448" s="41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1"/>
      <c r="AR448" s="41"/>
    </row>
    <row r="449" ht="14.25" customHeight="1">
      <c r="A449" s="41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1"/>
      <c r="AR449" s="41"/>
    </row>
    <row r="450" ht="14.25" customHeight="1">
      <c r="A450" s="41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1"/>
      <c r="AR450" s="41"/>
    </row>
    <row r="451" ht="14.25" customHeight="1">
      <c r="A451" s="41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1"/>
      <c r="AR451" s="41"/>
    </row>
    <row r="452" ht="14.25" customHeight="1">
      <c r="A452" s="41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1"/>
      <c r="AR452" s="41"/>
    </row>
    <row r="453" ht="14.25" customHeight="1">
      <c r="A453" s="41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1"/>
      <c r="AR453" s="41"/>
    </row>
    <row r="454" ht="14.25" customHeight="1">
      <c r="A454" s="41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1"/>
      <c r="AR454" s="41"/>
    </row>
    <row r="455" ht="14.25" customHeight="1">
      <c r="A455" s="41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1"/>
      <c r="AR455" s="41"/>
    </row>
    <row r="456" ht="14.25" customHeight="1">
      <c r="A456" s="41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1"/>
      <c r="AR456" s="41"/>
    </row>
    <row r="457" ht="14.25" customHeight="1">
      <c r="A457" s="41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1"/>
      <c r="AR457" s="41"/>
    </row>
    <row r="458" ht="14.25" customHeight="1">
      <c r="A458" s="41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1"/>
      <c r="AR458" s="41"/>
    </row>
    <row r="459" ht="14.25" customHeight="1">
      <c r="A459" s="41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1"/>
      <c r="AR459" s="41"/>
    </row>
    <row r="460" ht="14.25" customHeight="1">
      <c r="A460" s="41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1"/>
      <c r="AR460" s="41"/>
    </row>
    <row r="461" ht="14.25" customHeight="1">
      <c r="A461" s="41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1"/>
      <c r="AR461" s="41"/>
    </row>
    <row r="462" ht="14.25" customHeight="1">
      <c r="A462" s="41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1"/>
      <c r="AR462" s="41"/>
    </row>
    <row r="463" ht="14.25" customHeight="1">
      <c r="A463" s="41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1"/>
      <c r="AR463" s="41"/>
    </row>
    <row r="464" ht="14.25" customHeight="1">
      <c r="A464" s="41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1"/>
      <c r="AR464" s="41"/>
    </row>
    <row r="465" ht="14.25" customHeight="1">
      <c r="A465" s="41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1"/>
      <c r="AR465" s="41"/>
    </row>
    <row r="466" ht="14.25" customHeight="1">
      <c r="A466" s="41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1"/>
      <c r="AR466" s="41"/>
    </row>
    <row r="467" ht="14.25" customHeight="1">
      <c r="A467" s="41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1"/>
      <c r="AR467" s="41"/>
    </row>
    <row r="468" ht="14.25" customHeight="1">
      <c r="A468" s="41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1"/>
      <c r="AR468" s="41"/>
    </row>
    <row r="469" ht="14.25" customHeight="1">
      <c r="A469" s="41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1"/>
      <c r="AR469" s="41"/>
    </row>
    <row r="470" ht="14.25" customHeight="1">
      <c r="A470" s="41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1"/>
      <c r="AR470" s="41"/>
    </row>
    <row r="471" ht="14.25" customHeight="1">
      <c r="A471" s="41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1"/>
      <c r="AR471" s="41"/>
    </row>
    <row r="472" ht="14.25" customHeight="1">
      <c r="A472" s="41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1"/>
      <c r="AR472" s="41"/>
    </row>
    <row r="473" ht="14.25" customHeight="1">
      <c r="A473" s="41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1"/>
      <c r="AR473" s="41"/>
    </row>
    <row r="474" ht="14.25" customHeight="1">
      <c r="A474" s="41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1"/>
      <c r="AR474" s="41"/>
    </row>
    <row r="475" ht="14.25" customHeight="1">
      <c r="A475" s="41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1"/>
      <c r="AR475" s="41"/>
    </row>
    <row r="476" ht="14.25" customHeight="1">
      <c r="A476" s="41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1"/>
      <c r="AR476" s="41"/>
    </row>
    <row r="477" ht="14.25" customHeight="1">
      <c r="A477" s="41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1"/>
      <c r="AR477" s="41"/>
    </row>
    <row r="478" ht="14.25" customHeight="1">
      <c r="A478" s="41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1"/>
      <c r="AR478" s="41"/>
    </row>
    <row r="479" ht="14.25" customHeight="1">
      <c r="A479" s="41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1"/>
      <c r="AR479" s="41"/>
    </row>
    <row r="480" ht="14.25" customHeight="1">
      <c r="A480" s="41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1"/>
      <c r="AR480" s="41"/>
    </row>
    <row r="481" ht="14.25" customHeight="1">
      <c r="A481" s="41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1"/>
      <c r="AR481" s="41"/>
    </row>
    <row r="482" ht="14.25" customHeight="1">
      <c r="A482" s="41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1"/>
      <c r="AR482" s="41"/>
    </row>
    <row r="483" ht="14.25" customHeight="1">
      <c r="A483" s="41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1"/>
      <c r="AR483" s="41"/>
    </row>
    <row r="484" ht="14.25" customHeight="1">
      <c r="A484" s="41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1"/>
      <c r="AR484" s="41"/>
    </row>
    <row r="485" ht="14.25" customHeight="1">
      <c r="A485" s="41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1"/>
      <c r="AR485" s="41"/>
    </row>
    <row r="486" ht="14.25" customHeight="1">
      <c r="A486" s="41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1"/>
      <c r="AR486" s="41"/>
    </row>
    <row r="487" ht="14.25" customHeight="1">
      <c r="A487" s="41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1"/>
      <c r="AR487" s="41"/>
    </row>
    <row r="488" ht="14.25" customHeight="1">
      <c r="A488" s="41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1"/>
      <c r="AR488" s="41"/>
    </row>
    <row r="489" ht="14.25" customHeight="1">
      <c r="A489" s="41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1"/>
      <c r="AR489" s="41"/>
    </row>
    <row r="490" ht="14.25" customHeight="1">
      <c r="A490" s="41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1"/>
      <c r="AR490" s="41"/>
    </row>
    <row r="491" ht="14.25" customHeight="1">
      <c r="A491" s="41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1"/>
      <c r="AR491" s="41"/>
    </row>
    <row r="492" ht="14.25" customHeight="1">
      <c r="A492" s="41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1"/>
      <c r="AR492" s="41"/>
    </row>
    <row r="493" ht="14.25" customHeight="1">
      <c r="A493" s="41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1"/>
      <c r="AR493" s="41"/>
    </row>
    <row r="494" ht="14.25" customHeight="1">
      <c r="A494" s="41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1"/>
      <c r="AR494" s="41"/>
    </row>
    <row r="495" ht="14.25" customHeight="1">
      <c r="A495" s="41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1"/>
      <c r="AR495" s="41"/>
    </row>
    <row r="496" ht="14.25" customHeight="1">
      <c r="A496" s="41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1"/>
      <c r="AR496" s="41"/>
    </row>
    <row r="497" ht="14.25" customHeight="1">
      <c r="A497" s="41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1"/>
      <c r="AR497" s="41"/>
    </row>
    <row r="498" ht="14.25" customHeight="1">
      <c r="A498" s="41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1"/>
      <c r="AR498" s="41"/>
    </row>
    <row r="499" ht="14.25" customHeight="1">
      <c r="A499" s="41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1"/>
      <c r="AR499" s="41"/>
    </row>
    <row r="500" ht="14.25" customHeight="1">
      <c r="A500" s="41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1"/>
      <c r="AR500" s="41"/>
    </row>
    <row r="501" ht="14.25" customHeight="1">
      <c r="A501" s="41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1"/>
      <c r="AR501" s="41"/>
    </row>
    <row r="502" ht="14.25" customHeight="1">
      <c r="A502" s="41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1"/>
      <c r="AR502" s="41"/>
    </row>
    <row r="503" ht="14.25" customHeight="1">
      <c r="A503" s="41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1"/>
      <c r="AR503" s="41"/>
    </row>
    <row r="504" ht="14.25" customHeight="1">
      <c r="A504" s="41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1"/>
      <c r="AR504" s="41"/>
    </row>
    <row r="505" ht="14.25" customHeight="1">
      <c r="A505" s="41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1"/>
      <c r="AR505" s="41"/>
    </row>
    <row r="506" ht="14.25" customHeight="1">
      <c r="A506" s="41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1"/>
      <c r="AR506" s="41"/>
    </row>
    <row r="507" ht="14.25" customHeight="1">
      <c r="A507" s="41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1"/>
      <c r="AR507" s="41"/>
    </row>
    <row r="508" ht="14.25" customHeight="1">
      <c r="A508" s="41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1"/>
      <c r="AR508" s="41"/>
    </row>
    <row r="509" ht="14.25" customHeight="1">
      <c r="A509" s="41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1"/>
      <c r="AR509" s="41"/>
    </row>
    <row r="510" ht="14.25" customHeight="1">
      <c r="A510" s="41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1"/>
      <c r="AR510" s="41"/>
    </row>
    <row r="511" ht="14.25" customHeight="1">
      <c r="A511" s="41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1"/>
      <c r="AR511" s="41"/>
    </row>
    <row r="512" ht="14.25" customHeight="1">
      <c r="A512" s="41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1"/>
      <c r="AR512" s="41"/>
    </row>
    <row r="513" ht="14.25" customHeight="1">
      <c r="A513" s="41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1"/>
      <c r="AR513" s="41"/>
    </row>
    <row r="514" ht="14.25" customHeight="1">
      <c r="A514" s="41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1"/>
      <c r="AR514" s="41"/>
    </row>
    <row r="515" ht="14.25" customHeight="1">
      <c r="A515" s="41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1"/>
      <c r="AR515" s="41"/>
    </row>
    <row r="516" ht="14.25" customHeight="1">
      <c r="A516" s="41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1"/>
      <c r="AR516" s="41"/>
    </row>
    <row r="517" ht="14.25" customHeight="1">
      <c r="A517" s="41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1"/>
      <c r="AR517" s="41"/>
    </row>
    <row r="518" ht="14.25" customHeight="1">
      <c r="A518" s="41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1"/>
      <c r="AR518" s="41"/>
    </row>
    <row r="519" ht="14.25" customHeight="1">
      <c r="A519" s="41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1"/>
      <c r="AR519" s="41"/>
    </row>
    <row r="520" ht="14.25" customHeight="1">
      <c r="A520" s="41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1"/>
      <c r="AR520" s="41"/>
    </row>
    <row r="521" ht="14.25" customHeight="1">
      <c r="A521" s="41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1"/>
      <c r="AR521" s="41"/>
    </row>
    <row r="522" ht="14.25" customHeight="1">
      <c r="A522" s="41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1"/>
      <c r="AR522" s="41"/>
    </row>
    <row r="523" ht="14.25" customHeight="1">
      <c r="A523" s="41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1"/>
      <c r="AR523" s="41"/>
    </row>
    <row r="524" ht="14.25" customHeight="1">
      <c r="A524" s="41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1"/>
      <c r="AR524" s="41"/>
    </row>
    <row r="525" ht="14.25" customHeight="1">
      <c r="A525" s="41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1"/>
      <c r="AR525" s="41"/>
    </row>
    <row r="526" ht="14.25" customHeight="1">
      <c r="A526" s="41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1"/>
      <c r="AR526" s="41"/>
    </row>
    <row r="527" ht="14.25" customHeight="1">
      <c r="A527" s="41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1"/>
      <c r="AR527" s="41"/>
    </row>
    <row r="528" ht="14.25" customHeight="1">
      <c r="A528" s="41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1"/>
      <c r="AR528" s="41"/>
    </row>
    <row r="529" ht="14.25" customHeight="1">
      <c r="A529" s="41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1"/>
      <c r="AR529" s="41"/>
    </row>
    <row r="530" ht="14.25" customHeight="1">
      <c r="A530" s="41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1"/>
      <c r="AR530" s="41"/>
    </row>
    <row r="531" ht="14.25" customHeight="1">
      <c r="A531" s="41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1"/>
      <c r="AR531" s="41"/>
    </row>
    <row r="532" ht="14.25" customHeight="1">
      <c r="A532" s="41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1"/>
      <c r="AR532" s="41"/>
    </row>
    <row r="533" ht="14.25" customHeight="1">
      <c r="A533" s="41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1"/>
      <c r="AR533" s="41"/>
    </row>
    <row r="534" ht="14.25" customHeight="1">
      <c r="A534" s="41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1"/>
      <c r="AR534" s="41"/>
    </row>
    <row r="535" ht="14.25" customHeight="1">
      <c r="A535" s="41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1"/>
      <c r="AR535" s="41"/>
    </row>
    <row r="536" ht="14.25" customHeight="1">
      <c r="A536" s="41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1"/>
      <c r="AR536" s="41"/>
    </row>
    <row r="537" ht="14.25" customHeight="1">
      <c r="A537" s="41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1"/>
      <c r="AR537" s="41"/>
    </row>
    <row r="538" ht="14.25" customHeight="1">
      <c r="A538" s="41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1"/>
      <c r="AR538" s="41"/>
    </row>
    <row r="539" ht="14.25" customHeight="1">
      <c r="A539" s="41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1"/>
      <c r="AR539" s="41"/>
    </row>
    <row r="540" ht="14.25" customHeight="1">
      <c r="A540" s="41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1"/>
      <c r="AR540" s="41"/>
    </row>
    <row r="541" ht="14.25" customHeight="1">
      <c r="A541" s="41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1"/>
      <c r="AR541" s="41"/>
    </row>
    <row r="542" ht="14.25" customHeight="1">
      <c r="A542" s="41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1"/>
      <c r="AR542" s="41"/>
    </row>
    <row r="543" ht="14.25" customHeight="1">
      <c r="A543" s="41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1"/>
      <c r="AR543" s="41"/>
    </row>
    <row r="544" ht="14.25" customHeight="1">
      <c r="A544" s="41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1"/>
      <c r="AR544" s="41"/>
    </row>
    <row r="545" ht="14.25" customHeight="1">
      <c r="A545" s="41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1"/>
      <c r="AR545" s="41"/>
    </row>
    <row r="546" ht="14.25" customHeight="1">
      <c r="A546" s="41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1"/>
      <c r="AR546" s="41"/>
    </row>
    <row r="547" ht="14.25" customHeight="1">
      <c r="A547" s="41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1"/>
      <c r="AR547" s="41"/>
    </row>
    <row r="548" ht="14.25" customHeight="1">
      <c r="A548" s="41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1"/>
      <c r="AR548" s="41"/>
    </row>
    <row r="549" ht="14.25" customHeight="1">
      <c r="A549" s="41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1"/>
      <c r="AR549" s="41"/>
    </row>
    <row r="550" ht="14.25" customHeight="1">
      <c r="A550" s="41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1"/>
      <c r="AR550" s="41"/>
    </row>
    <row r="551" ht="14.25" customHeight="1">
      <c r="A551" s="41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1"/>
      <c r="AR551" s="41"/>
    </row>
    <row r="552" ht="14.25" customHeight="1">
      <c r="A552" s="41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1"/>
      <c r="AR552" s="41"/>
    </row>
    <row r="553" ht="14.25" customHeight="1">
      <c r="A553" s="41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1"/>
      <c r="AR553" s="41"/>
    </row>
    <row r="554" ht="14.25" customHeight="1">
      <c r="A554" s="41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1"/>
      <c r="AR554" s="41"/>
    </row>
    <row r="555" ht="14.25" customHeight="1">
      <c r="A555" s="41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1"/>
      <c r="AR555" s="41"/>
    </row>
    <row r="556" ht="14.25" customHeight="1">
      <c r="A556" s="41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1"/>
      <c r="AR556" s="41"/>
    </row>
    <row r="557" ht="14.25" customHeight="1">
      <c r="A557" s="41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1"/>
      <c r="AR557" s="41"/>
    </row>
    <row r="558" ht="14.25" customHeight="1">
      <c r="A558" s="41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1"/>
      <c r="AR558" s="41"/>
    </row>
    <row r="559" ht="14.25" customHeight="1">
      <c r="A559" s="41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1"/>
      <c r="AR559" s="41"/>
    </row>
    <row r="560" ht="14.25" customHeight="1">
      <c r="A560" s="41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1"/>
      <c r="AR560" s="41"/>
    </row>
    <row r="561" ht="14.25" customHeight="1">
      <c r="A561" s="41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1"/>
      <c r="AR561" s="41"/>
    </row>
    <row r="562" ht="14.25" customHeight="1">
      <c r="A562" s="41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1"/>
      <c r="AR562" s="41"/>
    </row>
    <row r="563" ht="14.25" customHeight="1">
      <c r="A563" s="41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1"/>
      <c r="AR563" s="41"/>
    </row>
    <row r="564" ht="14.25" customHeight="1">
      <c r="A564" s="41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1"/>
      <c r="AR564" s="41"/>
    </row>
    <row r="565" ht="14.25" customHeight="1">
      <c r="A565" s="41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1"/>
      <c r="AR565" s="41"/>
    </row>
    <row r="566" ht="14.25" customHeight="1">
      <c r="A566" s="41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1"/>
      <c r="AR566" s="41"/>
    </row>
    <row r="567" ht="14.25" customHeight="1">
      <c r="A567" s="41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1"/>
      <c r="AR567" s="41"/>
    </row>
    <row r="568" ht="14.25" customHeight="1">
      <c r="A568" s="41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1"/>
      <c r="AR568" s="41"/>
    </row>
    <row r="569" ht="14.25" customHeight="1">
      <c r="A569" s="41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1"/>
      <c r="AR569" s="41"/>
    </row>
    <row r="570" ht="14.25" customHeight="1">
      <c r="A570" s="41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1"/>
      <c r="AR570" s="41"/>
    </row>
    <row r="571" ht="14.25" customHeight="1">
      <c r="A571" s="41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1"/>
      <c r="AR571" s="41"/>
    </row>
    <row r="572" ht="14.25" customHeight="1">
      <c r="A572" s="41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1"/>
      <c r="AR572" s="41"/>
    </row>
    <row r="573" ht="14.25" customHeight="1">
      <c r="A573" s="41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1"/>
      <c r="AR573" s="41"/>
    </row>
    <row r="574" ht="14.25" customHeight="1">
      <c r="A574" s="41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1"/>
      <c r="AR574" s="41"/>
    </row>
    <row r="575" ht="14.25" customHeight="1">
      <c r="A575" s="41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1"/>
      <c r="AR575" s="41"/>
    </row>
    <row r="576" ht="14.25" customHeight="1">
      <c r="A576" s="41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1"/>
      <c r="AR576" s="41"/>
    </row>
    <row r="577" ht="14.25" customHeight="1">
      <c r="A577" s="41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1"/>
      <c r="AR577" s="41"/>
    </row>
    <row r="578" ht="14.25" customHeight="1">
      <c r="A578" s="41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1"/>
      <c r="AR578" s="41"/>
    </row>
    <row r="579" ht="14.25" customHeight="1">
      <c r="A579" s="41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1"/>
      <c r="AR579" s="41"/>
    </row>
    <row r="580" ht="14.25" customHeight="1">
      <c r="A580" s="41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1"/>
      <c r="AR580" s="41"/>
    </row>
    <row r="581" ht="14.25" customHeight="1">
      <c r="A581" s="41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1"/>
      <c r="AR581" s="41"/>
    </row>
    <row r="582" ht="14.25" customHeight="1">
      <c r="A582" s="41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1"/>
      <c r="AR582" s="41"/>
    </row>
    <row r="583" ht="14.25" customHeight="1">
      <c r="A583" s="41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1"/>
      <c r="AR583" s="41"/>
    </row>
    <row r="584" ht="14.25" customHeight="1">
      <c r="A584" s="41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1"/>
      <c r="AR584" s="41"/>
    </row>
    <row r="585" ht="14.25" customHeight="1">
      <c r="A585" s="41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1"/>
      <c r="AR585" s="41"/>
    </row>
    <row r="586" ht="14.25" customHeight="1">
      <c r="A586" s="41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1"/>
      <c r="AR586" s="41"/>
    </row>
    <row r="587" ht="14.25" customHeight="1">
      <c r="A587" s="41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1"/>
      <c r="AR587" s="41"/>
    </row>
    <row r="588" ht="14.25" customHeight="1">
      <c r="A588" s="41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1"/>
      <c r="AR588" s="41"/>
    </row>
    <row r="589" ht="14.25" customHeight="1">
      <c r="A589" s="41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1"/>
      <c r="AR589" s="41"/>
    </row>
    <row r="590" ht="14.25" customHeight="1">
      <c r="A590" s="41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1"/>
      <c r="AR590" s="41"/>
    </row>
    <row r="591" ht="14.25" customHeight="1">
      <c r="A591" s="41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1"/>
      <c r="AR591" s="41"/>
    </row>
    <row r="592" ht="14.25" customHeight="1">
      <c r="A592" s="41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1"/>
      <c r="AR592" s="41"/>
    </row>
    <row r="593" ht="14.25" customHeight="1">
      <c r="A593" s="41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1"/>
      <c r="AR593" s="41"/>
    </row>
    <row r="594" ht="14.25" customHeight="1">
      <c r="A594" s="41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1"/>
      <c r="AR594" s="41"/>
    </row>
    <row r="595" ht="14.25" customHeight="1">
      <c r="A595" s="41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1"/>
      <c r="AR595" s="41"/>
    </row>
    <row r="596" ht="14.25" customHeight="1">
      <c r="A596" s="41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1"/>
      <c r="AR596" s="41"/>
    </row>
    <row r="597" ht="14.25" customHeight="1">
      <c r="A597" s="41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1"/>
      <c r="AR597" s="41"/>
    </row>
    <row r="598" ht="14.25" customHeight="1">
      <c r="A598" s="41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1"/>
      <c r="AR598" s="41"/>
    </row>
    <row r="599" ht="14.25" customHeight="1">
      <c r="A599" s="41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1"/>
      <c r="AR599" s="41"/>
    </row>
    <row r="600" ht="14.25" customHeight="1">
      <c r="A600" s="41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1"/>
      <c r="AR600" s="41"/>
    </row>
    <row r="601" ht="14.25" customHeight="1">
      <c r="A601" s="41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1"/>
      <c r="AR601" s="41"/>
    </row>
    <row r="602" ht="14.25" customHeight="1">
      <c r="A602" s="41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1"/>
      <c r="AR602" s="41"/>
    </row>
    <row r="603" ht="14.25" customHeight="1">
      <c r="A603" s="41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1"/>
      <c r="AR603" s="41"/>
    </row>
    <row r="604" ht="14.25" customHeight="1">
      <c r="A604" s="41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1"/>
      <c r="AR604" s="41"/>
    </row>
    <row r="605" ht="14.25" customHeight="1">
      <c r="A605" s="41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1"/>
      <c r="AR605" s="41"/>
    </row>
    <row r="606" ht="14.25" customHeight="1">
      <c r="A606" s="41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1"/>
      <c r="AR606" s="41"/>
    </row>
    <row r="607" ht="14.25" customHeight="1">
      <c r="A607" s="41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1"/>
      <c r="AR607" s="41"/>
    </row>
    <row r="608" ht="14.25" customHeight="1">
      <c r="A608" s="41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1"/>
      <c r="AR608" s="41"/>
    </row>
    <row r="609" ht="14.25" customHeight="1">
      <c r="A609" s="41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1"/>
      <c r="AR609" s="41"/>
    </row>
    <row r="610" ht="14.25" customHeight="1">
      <c r="A610" s="41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1"/>
      <c r="AR610" s="41"/>
    </row>
    <row r="611" ht="14.25" customHeight="1">
      <c r="A611" s="41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1"/>
      <c r="AR611" s="41"/>
    </row>
    <row r="612" ht="14.25" customHeight="1">
      <c r="A612" s="41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1"/>
      <c r="AR612" s="41"/>
    </row>
    <row r="613" ht="14.25" customHeight="1">
      <c r="A613" s="41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1"/>
      <c r="AR613" s="41"/>
    </row>
    <row r="614" ht="14.25" customHeight="1">
      <c r="A614" s="41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1"/>
      <c r="AR614" s="41"/>
    </row>
    <row r="615" ht="14.25" customHeight="1">
      <c r="A615" s="41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1"/>
      <c r="AR615" s="41"/>
    </row>
    <row r="616" ht="14.25" customHeight="1">
      <c r="A616" s="41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1"/>
      <c r="AR616" s="41"/>
    </row>
    <row r="617" ht="14.25" customHeight="1">
      <c r="A617" s="41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1"/>
      <c r="AR617" s="41"/>
    </row>
    <row r="618" ht="14.25" customHeight="1">
      <c r="A618" s="41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1"/>
      <c r="AR618" s="41"/>
    </row>
    <row r="619" ht="14.25" customHeight="1">
      <c r="A619" s="41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1"/>
      <c r="AR619" s="41"/>
    </row>
    <row r="620" ht="14.25" customHeight="1">
      <c r="A620" s="41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1"/>
      <c r="AR620" s="41"/>
    </row>
    <row r="621" ht="14.25" customHeight="1">
      <c r="A621" s="41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1"/>
      <c r="AR621" s="41"/>
    </row>
    <row r="622" ht="14.25" customHeight="1">
      <c r="A622" s="41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1"/>
      <c r="AR622" s="41"/>
    </row>
    <row r="623" ht="14.25" customHeight="1">
      <c r="A623" s="41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1"/>
      <c r="AR623" s="41"/>
    </row>
    <row r="624" ht="14.25" customHeight="1">
      <c r="A624" s="41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1"/>
      <c r="AR624" s="41"/>
    </row>
    <row r="625" ht="14.25" customHeight="1">
      <c r="A625" s="41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1"/>
      <c r="AR625" s="41"/>
    </row>
    <row r="626" ht="14.25" customHeight="1">
      <c r="A626" s="41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1"/>
      <c r="AR626" s="41"/>
    </row>
    <row r="627" ht="14.25" customHeight="1">
      <c r="A627" s="41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1"/>
      <c r="AR627" s="41"/>
    </row>
    <row r="628" ht="14.25" customHeight="1">
      <c r="A628" s="41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1"/>
      <c r="AR628" s="41"/>
    </row>
    <row r="629" ht="14.25" customHeight="1">
      <c r="A629" s="41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1"/>
      <c r="AR629" s="41"/>
    </row>
    <row r="630" ht="14.25" customHeight="1">
      <c r="A630" s="41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1"/>
      <c r="AR630" s="41"/>
    </row>
    <row r="631" ht="14.25" customHeight="1">
      <c r="A631" s="41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1"/>
      <c r="AR631" s="41"/>
    </row>
    <row r="632" ht="14.25" customHeight="1">
      <c r="A632" s="41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1"/>
      <c r="AR632" s="41"/>
    </row>
    <row r="633" ht="14.25" customHeight="1">
      <c r="A633" s="41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1"/>
      <c r="AR633" s="41"/>
    </row>
    <row r="634" ht="14.25" customHeight="1">
      <c r="A634" s="41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1"/>
      <c r="AR634" s="41"/>
    </row>
    <row r="635" ht="14.25" customHeight="1">
      <c r="A635" s="41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1"/>
      <c r="AR635" s="41"/>
    </row>
    <row r="636" ht="14.25" customHeight="1">
      <c r="A636" s="41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1"/>
      <c r="AR636" s="41"/>
    </row>
    <row r="637" ht="14.25" customHeight="1">
      <c r="A637" s="41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1"/>
      <c r="AR637" s="41"/>
    </row>
    <row r="638" ht="14.25" customHeight="1">
      <c r="A638" s="41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1"/>
      <c r="AR638" s="41"/>
    </row>
    <row r="639" ht="14.25" customHeight="1">
      <c r="A639" s="41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1"/>
      <c r="AR639" s="41"/>
    </row>
    <row r="640" ht="14.25" customHeight="1">
      <c r="A640" s="41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1"/>
      <c r="AR640" s="41"/>
    </row>
    <row r="641" ht="14.25" customHeight="1">
      <c r="A641" s="41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1"/>
      <c r="AR641" s="41"/>
    </row>
    <row r="642" ht="14.25" customHeight="1">
      <c r="A642" s="41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1"/>
      <c r="AR642" s="41"/>
    </row>
    <row r="643" ht="14.25" customHeight="1">
      <c r="A643" s="41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1"/>
      <c r="AR643" s="41"/>
    </row>
    <row r="644" ht="14.25" customHeight="1">
      <c r="A644" s="41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1"/>
      <c r="AR644" s="41"/>
    </row>
    <row r="645" ht="14.25" customHeight="1">
      <c r="A645" s="41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1"/>
      <c r="AR645" s="41"/>
    </row>
    <row r="646" ht="14.25" customHeight="1">
      <c r="A646" s="41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1"/>
      <c r="AR646" s="41"/>
    </row>
    <row r="647" ht="14.25" customHeight="1">
      <c r="A647" s="41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1"/>
      <c r="AR647" s="41"/>
    </row>
    <row r="648" ht="14.25" customHeight="1">
      <c r="A648" s="41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1"/>
      <c r="AR648" s="41"/>
    </row>
    <row r="649" ht="14.25" customHeight="1">
      <c r="A649" s="41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1"/>
      <c r="AR649" s="41"/>
    </row>
    <row r="650" ht="14.25" customHeight="1">
      <c r="A650" s="41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1"/>
      <c r="AR650" s="41"/>
    </row>
    <row r="651" ht="14.25" customHeight="1">
      <c r="A651" s="41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1"/>
      <c r="AR651" s="41"/>
    </row>
    <row r="652" ht="14.25" customHeight="1">
      <c r="A652" s="41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1"/>
      <c r="AR652" s="41"/>
    </row>
    <row r="653" ht="14.25" customHeight="1">
      <c r="A653" s="41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1"/>
      <c r="AR653" s="41"/>
    </row>
    <row r="654" ht="14.25" customHeight="1">
      <c r="A654" s="41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1"/>
      <c r="AR654" s="41"/>
    </row>
    <row r="655" ht="14.25" customHeight="1">
      <c r="A655" s="41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1"/>
      <c r="AR655" s="41"/>
    </row>
    <row r="656" ht="14.25" customHeight="1">
      <c r="A656" s="41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1"/>
      <c r="AR656" s="41"/>
    </row>
    <row r="657" ht="14.25" customHeight="1">
      <c r="A657" s="41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1"/>
      <c r="AR657" s="41"/>
    </row>
    <row r="658" ht="14.25" customHeight="1">
      <c r="A658" s="41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1"/>
      <c r="AR658" s="41"/>
    </row>
    <row r="659" ht="14.25" customHeight="1">
      <c r="A659" s="41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1"/>
      <c r="AR659" s="41"/>
    </row>
    <row r="660" ht="14.25" customHeight="1">
      <c r="A660" s="41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1"/>
      <c r="AR660" s="41"/>
    </row>
    <row r="661" ht="14.25" customHeight="1">
      <c r="A661" s="41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1"/>
      <c r="AR661" s="41"/>
    </row>
    <row r="662" ht="14.25" customHeight="1">
      <c r="A662" s="41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1"/>
      <c r="AR662" s="41"/>
    </row>
    <row r="663" ht="14.25" customHeight="1">
      <c r="A663" s="41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1"/>
      <c r="AR663" s="41"/>
    </row>
    <row r="664" ht="14.25" customHeight="1">
      <c r="A664" s="41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1"/>
      <c r="AR664" s="41"/>
    </row>
    <row r="665" ht="14.25" customHeight="1">
      <c r="A665" s="41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1"/>
      <c r="AR665" s="41"/>
    </row>
    <row r="666" ht="14.25" customHeight="1">
      <c r="A666" s="41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1"/>
      <c r="AR666" s="41"/>
    </row>
    <row r="667" ht="14.25" customHeight="1">
      <c r="A667" s="41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1"/>
      <c r="AR667" s="41"/>
    </row>
    <row r="668" ht="14.25" customHeight="1">
      <c r="A668" s="41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1"/>
      <c r="AR668" s="41"/>
    </row>
    <row r="669" ht="14.25" customHeight="1">
      <c r="A669" s="41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1"/>
      <c r="AR669" s="41"/>
    </row>
    <row r="670" ht="14.25" customHeight="1">
      <c r="A670" s="41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1"/>
      <c r="AR670" s="41"/>
    </row>
    <row r="671" ht="14.25" customHeight="1">
      <c r="A671" s="41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1"/>
      <c r="AR671" s="41"/>
    </row>
    <row r="672" ht="14.25" customHeight="1">
      <c r="A672" s="41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1"/>
      <c r="AR672" s="41"/>
    </row>
    <row r="673" ht="14.25" customHeight="1">
      <c r="A673" s="41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1"/>
      <c r="AR673" s="41"/>
    </row>
    <row r="674" ht="14.25" customHeight="1">
      <c r="A674" s="41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1"/>
      <c r="AR674" s="41"/>
    </row>
    <row r="675" ht="14.25" customHeight="1">
      <c r="A675" s="41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1"/>
      <c r="AR675" s="41"/>
    </row>
    <row r="676" ht="14.25" customHeight="1">
      <c r="A676" s="41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1"/>
      <c r="AR676" s="41"/>
    </row>
    <row r="677" ht="14.25" customHeight="1">
      <c r="A677" s="41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1"/>
      <c r="AR677" s="41"/>
    </row>
    <row r="678" ht="14.25" customHeight="1">
      <c r="A678" s="41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1"/>
      <c r="AR678" s="41"/>
    </row>
    <row r="679" ht="14.25" customHeight="1">
      <c r="A679" s="41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1"/>
      <c r="AR679" s="41"/>
    </row>
    <row r="680" ht="14.25" customHeight="1">
      <c r="A680" s="41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1"/>
      <c r="AR680" s="41"/>
    </row>
    <row r="681" ht="14.25" customHeight="1">
      <c r="A681" s="41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1"/>
      <c r="AR681" s="41"/>
    </row>
    <row r="682" ht="14.25" customHeight="1">
      <c r="A682" s="41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1"/>
      <c r="AR682" s="41"/>
    </row>
    <row r="683" ht="14.25" customHeight="1">
      <c r="A683" s="41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1"/>
      <c r="AR683" s="41"/>
    </row>
    <row r="684" ht="14.25" customHeight="1">
      <c r="A684" s="41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1"/>
      <c r="AR684" s="41"/>
    </row>
    <row r="685" ht="14.25" customHeight="1">
      <c r="A685" s="41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1"/>
      <c r="AR685" s="41"/>
    </row>
    <row r="686" ht="14.25" customHeight="1">
      <c r="A686" s="41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1"/>
      <c r="AR686" s="41"/>
    </row>
    <row r="687" ht="14.25" customHeight="1">
      <c r="A687" s="41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1"/>
      <c r="AR687" s="41"/>
    </row>
    <row r="688" ht="14.25" customHeight="1">
      <c r="A688" s="41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1"/>
      <c r="AR688" s="41"/>
    </row>
    <row r="689" ht="14.25" customHeight="1">
      <c r="A689" s="41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1"/>
      <c r="AR689" s="41"/>
    </row>
    <row r="690" ht="14.25" customHeight="1">
      <c r="A690" s="41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1"/>
      <c r="AR690" s="41"/>
    </row>
    <row r="691" ht="14.25" customHeight="1">
      <c r="A691" s="41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1"/>
      <c r="AR691" s="41"/>
    </row>
    <row r="692" ht="14.25" customHeight="1">
      <c r="A692" s="41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1"/>
      <c r="AR692" s="41"/>
    </row>
    <row r="693" ht="14.25" customHeight="1">
      <c r="A693" s="41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1"/>
      <c r="AR693" s="41"/>
    </row>
    <row r="694" ht="14.25" customHeight="1">
      <c r="A694" s="41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1"/>
      <c r="AR694" s="41"/>
    </row>
    <row r="695" ht="14.25" customHeight="1">
      <c r="A695" s="41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1"/>
      <c r="AR695" s="41"/>
    </row>
    <row r="696" ht="14.25" customHeight="1">
      <c r="A696" s="41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1"/>
      <c r="AR696" s="41"/>
    </row>
    <row r="697" ht="14.25" customHeight="1">
      <c r="A697" s="41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1"/>
      <c r="AR697" s="41"/>
    </row>
    <row r="698" ht="14.25" customHeight="1">
      <c r="A698" s="41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1"/>
      <c r="AR698" s="41"/>
    </row>
    <row r="699" ht="14.25" customHeight="1">
      <c r="A699" s="41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1"/>
      <c r="AR699" s="41"/>
    </row>
    <row r="700" ht="14.25" customHeight="1">
      <c r="A700" s="41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1"/>
      <c r="AR700" s="41"/>
    </row>
    <row r="701" ht="14.25" customHeight="1">
      <c r="A701" s="41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1"/>
      <c r="AR701" s="41"/>
    </row>
    <row r="702" ht="14.25" customHeight="1">
      <c r="A702" s="41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1"/>
      <c r="AR702" s="41"/>
    </row>
    <row r="703" ht="14.25" customHeight="1">
      <c r="A703" s="41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1"/>
      <c r="AR703" s="41"/>
    </row>
    <row r="704" ht="14.25" customHeight="1">
      <c r="A704" s="41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1"/>
      <c r="AR704" s="41"/>
    </row>
    <row r="705" ht="14.25" customHeight="1">
      <c r="A705" s="41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1"/>
      <c r="AR705" s="41"/>
    </row>
    <row r="706" ht="14.25" customHeight="1">
      <c r="A706" s="41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1"/>
      <c r="AR706" s="41"/>
    </row>
    <row r="707" ht="14.25" customHeight="1">
      <c r="A707" s="41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1"/>
      <c r="AR707" s="41"/>
    </row>
    <row r="708" ht="14.25" customHeight="1">
      <c r="A708" s="41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1"/>
      <c r="AR708" s="41"/>
    </row>
    <row r="709" ht="14.25" customHeight="1">
      <c r="A709" s="41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1"/>
      <c r="AR709" s="41"/>
    </row>
    <row r="710" ht="14.25" customHeight="1">
      <c r="A710" s="41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1"/>
      <c r="AR710" s="41"/>
    </row>
    <row r="711" ht="14.25" customHeight="1">
      <c r="A711" s="41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1"/>
      <c r="AR711" s="41"/>
    </row>
    <row r="712" ht="14.25" customHeight="1">
      <c r="A712" s="41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1"/>
      <c r="AR712" s="41"/>
    </row>
    <row r="713" ht="14.25" customHeight="1">
      <c r="A713" s="41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1"/>
      <c r="AR713" s="41"/>
    </row>
    <row r="714" ht="14.25" customHeight="1">
      <c r="A714" s="41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1"/>
      <c r="AR714" s="41"/>
    </row>
    <row r="715" ht="14.25" customHeight="1">
      <c r="A715" s="41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1"/>
      <c r="AR715" s="41"/>
    </row>
    <row r="716" ht="14.25" customHeight="1">
      <c r="A716" s="41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1"/>
      <c r="AR716" s="41"/>
    </row>
    <row r="717" ht="14.25" customHeight="1">
      <c r="A717" s="41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1"/>
      <c r="AR717" s="41"/>
    </row>
    <row r="718" ht="14.25" customHeight="1">
      <c r="A718" s="41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1"/>
      <c r="AR718" s="41"/>
    </row>
    <row r="719" ht="14.25" customHeight="1">
      <c r="A719" s="41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1"/>
      <c r="AR719" s="41"/>
    </row>
    <row r="720" ht="14.25" customHeight="1">
      <c r="A720" s="41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1"/>
      <c r="AR720" s="41"/>
    </row>
    <row r="721" ht="14.25" customHeight="1">
      <c r="A721" s="41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1"/>
      <c r="AR721" s="41"/>
    </row>
    <row r="722" ht="14.25" customHeight="1">
      <c r="A722" s="41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1"/>
      <c r="AR722" s="41"/>
    </row>
    <row r="723" ht="14.25" customHeight="1">
      <c r="A723" s="41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1"/>
      <c r="AR723" s="41"/>
    </row>
    <row r="724" ht="14.25" customHeight="1">
      <c r="A724" s="41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1"/>
      <c r="AR724" s="41"/>
    </row>
    <row r="725" ht="14.25" customHeight="1">
      <c r="A725" s="41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1"/>
      <c r="AR725" s="41"/>
    </row>
    <row r="726" ht="14.25" customHeight="1">
      <c r="A726" s="41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1"/>
      <c r="AR726" s="41"/>
    </row>
    <row r="727" ht="14.25" customHeight="1">
      <c r="A727" s="41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1"/>
      <c r="AR727" s="41"/>
    </row>
    <row r="728" ht="14.25" customHeight="1">
      <c r="A728" s="41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1"/>
      <c r="AR728" s="41"/>
    </row>
    <row r="729" ht="14.25" customHeight="1">
      <c r="A729" s="41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1"/>
      <c r="AR729" s="41"/>
    </row>
    <row r="730" ht="14.25" customHeight="1">
      <c r="A730" s="41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1"/>
      <c r="AR730" s="41"/>
    </row>
    <row r="731" ht="14.25" customHeight="1">
      <c r="A731" s="41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1"/>
      <c r="AR731" s="41"/>
    </row>
    <row r="732" ht="14.25" customHeight="1">
      <c r="A732" s="41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1"/>
      <c r="AR732" s="41"/>
    </row>
    <row r="733" ht="14.25" customHeight="1">
      <c r="A733" s="41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1"/>
      <c r="AR733" s="41"/>
    </row>
    <row r="734" ht="14.25" customHeight="1">
      <c r="A734" s="41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1"/>
      <c r="AR734" s="41"/>
    </row>
    <row r="735" ht="14.25" customHeight="1">
      <c r="A735" s="41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1"/>
      <c r="AR735" s="41"/>
    </row>
    <row r="736" ht="14.25" customHeight="1">
      <c r="A736" s="41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1"/>
      <c r="AR736" s="41"/>
    </row>
    <row r="737" ht="14.25" customHeight="1">
      <c r="A737" s="41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1"/>
      <c r="AR737" s="41"/>
    </row>
    <row r="738" ht="14.25" customHeight="1">
      <c r="A738" s="41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1"/>
      <c r="AR738" s="41"/>
    </row>
    <row r="739" ht="14.25" customHeight="1">
      <c r="A739" s="41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1"/>
      <c r="AR739" s="41"/>
    </row>
    <row r="740" ht="14.25" customHeight="1">
      <c r="A740" s="41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1"/>
      <c r="AR740" s="41"/>
    </row>
    <row r="741" ht="14.25" customHeight="1">
      <c r="A741" s="41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1"/>
      <c r="AR741" s="41"/>
    </row>
    <row r="742" ht="14.25" customHeight="1">
      <c r="A742" s="41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1"/>
      <c r="AR742" s="41"/>
    </row>
    <row r="743" ht="14.25" customHeight="1">
      <c r="A743" s="41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1"/>
      <c r="AR743" s="41"/>
    </row>
    <row r="744" ht="14.25" customHeight="1">
      <c r="A744" s="41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1"/>
      <c r="AR744" s="41"/>
    </row>
    <row r="745" ht="14.25" customHeight="1">
      <c r="A745" s="41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1"/>
      <c r="AR745" s="41"/>
    </row>
    <row r="746" ht="14.25" customHeight="1">
      <c r="A746" s="41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1"/>
      <c r="AR746" s="41"/>
    </row>
    <row r="747" ht="14.25" customHeight="1">
      <c r="A747" s="41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1"/>
      <c r="AR747" s="41"/>
    </row>
    <row r="748" ht="14.25" customHeight="1">
      <c r="A748" s="41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1"/>
      <c r="AR748" s="41"/>
    </row>
    <row r="749" ht="14.25" customHeight="1">
      <c r="A749" s="41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1"/>
      <c r="AR749" s="41"/>
    </row>
    <row r="750" ht="14.25" customHeight="1">
      <c r="A750" s="41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1"/>
      <c r="AR750" s="41"/>
    </row>
    <row r="751" ht="14.25" customHeight="1">
      <c r="A751" s="41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1"/>
      <c r="AR751" s="41"/>
    </row>
    <row r="752" ht="14.25" customHeight="1">
      <c r="A752" s="41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1"/>
      <c r="AR752" s="41"/>
    </row>
    <row r="753" ht="14.25" customHeight="1">
      <c r="A753" s="41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1"/>
      <c r="AR753" s="41"/>
    </row>
    <row r="754" ht="14.25" customHeight="1">
      <c r="A754" s="41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1"/>
      <c r="AR754" s="41"/>
    </row>
    <row r="755" ht="14.25" customHeight="1">
      <c r="A755" s="41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1"/>
      <c r="AR755" s="41"/>
    </row>
    <row r="756" ht="14.25" customHeight="1">
      <c r="A756" s="41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1"/>
      <c r="AR756" s="41"/>
    </row>
    <row r="757" ht="14.25" customHeight="1">
      <c r="A757" s="41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1"/>
      <c r="AR757" s="41"/>
    </row>
    <row r="758" ht="14.25" customHeight="1">
      <c r="A758" s="41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1"/>
      <c r="AR758" s="41"/>
    </row>
    <row r="759" ht="14.25" customHeight="1">
      <c r="A759" s="41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1"/>
      <c r="AR759" s="41"/>
    </row>
    <row r="760" ht="14.25" customHeight="1">
      <c r="A760" s="41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1"/>
      <c r="AR760" s="41"/>
    </row>
    <row r="761" ht="14.25" customHeight="1">
      <c r="A761" s="41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1"/>
      <c r="AR761" s="41"/>
    </row>
    <row r="762" ht="14.25" customHeight="1">
      <c r="A762" s="41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1"/>
      <c r="AR762" s="41"/>
    </row>
    <row r="763" ht="14.25" customHeight="1">
      <c r="A763" s="41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1"/>
      <c r="AR763" s="41"/>
    </row>
    <row r="764" ht="14.25" customHeight="1">
      <c r="A764" s="41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1"/>
      <c r="AR764" s="41"/>
    </row>
    <row r="765" ht="14.25" customHeight="1">
      <c r="A765" s="41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1"/>
      <c r="AR765" s="41"/>
    </row>
    <row r="766" ht="14.25" customHeight="1">
      <c r="A766" s="41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1"/>
      <c r="AR766" s="41"/>
    </row>
    <row r="767" ht="14.25" customHeight="1">
      <c r="A767" s="41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1"/>
      <c r="AR767" s="41"/>
    </row>
    <row r="768" ht="14.25" customHeight="1">
      <c r="A768" s="41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1"/>
      <c r="AR768" s="41"/>
    </row>
    <row r="769" ht="14.25" customHeight="1">
      <c r="A769" s="41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1"/>
      <c r="AR769" s="41"/>
    </row>
    <row r="770" ht="14.25" customHeight="1">
      <c r="A770" s="41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1"/>
      <c r="AR770" s="41"/>
    </row>
    <row r="771" ht="14.25" customHeight="1">
      <c r="A771" s="41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1"/>
      <c r="AR771" s="41"/>
    </row>
    <row r="772" ht="14.25" customHeight="1">
      <c r="A772" s="41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1"/>
      <c r="AR772" s="41"/>
    </row>
    <row r="773" ht="14.25" customHeight="1">
      <c r="A773" s="41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1"/>
      <c r="AR773" s="41"/>
    </row>
    <row r="774" ht="14.25" customHeight="1">
      <c r="A774" s="41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1"/>
      <c r="AR774" s="41"/>
    </row>
    <row r="775" ht="14.25" customHeight="1">
      <c r="A775" s="41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1"/>
      <c r="AR775" s="41"/>
    </row>
    <row r="776" ht="14.25" customHeight="1">
      <c r="A776" s="41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1"/>
      <c r="AR776" s="41"/>
    </row>
    <row r="777" ht="14.25" customHeight="1">
      <c r="A777" s="41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1"/>
      <c r="AR777" s="41"/>
    </row>
    <row r="778" ht="14.25" customHeight="1">
      <c r="A778" s="41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1"/>
      <c r="AR778" s="41"/>
    </row>
    <row r="779" ht="14.25" customHeight="1">
      <c r="A779" s="41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1"/>
      <c r="AR779" s="41"/>
    </row>
    <row r="780" ht="14.25" customHeight="1">
      <c r="A780" s="41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1"/>
      <c r="AR780" s="41"/>
    </row>
    <row r="781" ht="14.25" customHeight="1">
      <c r="A781" s="41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1"/>
      <c r="AR781" s="41"/>
    </row>
    <row r="782" ht="14.25" customHeight="1">
      <c r="A782" s="41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1"/>
      <c r="AR782" s="41"/>
    </row>
    <row r="783" ht="14.25" customHeight="1">
      <c r="A783" s="41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1"/>
      <c r="AR783" s="41"/>
    </row>
    <row r="784" ht="14.25" customHeight="1">
      <c r="A784" s="41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1"/>
      <c r="AR784" s="41"/>
    </row>
    <row r="785" ht="14.25" customHeight="1">
      <c r="A785" s="41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1"/>
      <c r="AR785" s="41"/>
    </row>
    <row r="786" ht="14.25" customHeight="1">
      <c r="A786" s="41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1"/>
      <c r="AR786" s="41"/>
    </row>
    <row r="787" ht="14.25" customHeight="1">
      <c r="A787" s="41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1"/>
      <c r="AR787" s="41"/>
    </row>
    <row r="788" ht="14.25" customHeight="1">
      <c r="A788" s="41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1"/>
      <c r="AR788" s="41"/>
    </row>
    <row r="789" ht="14.25" customHeight="1">
      <c r="A789" s="41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1"/>
      <c r="AR789" s="41"/>
    </row>
    <row r="790" ht="14.25" customHeight="1">
      <c r="A790" s="41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1"/>
      <c r="AR790" s="41"/>
    </row>
    <row r="791" ht="14.25" customHeight="1">
      <c r="A791" s="41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1"/>
      <c r="AR791" s="41"/>
    </row>
    <row r="792" ht="14.25" customHeight="1">
      <c r="A792" s="41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1"/>
      <c r="AR792" s="41"/>
    </row>
    <row r="793" ht="14.25" customHeight="1">
      <c r="A793" s="41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1"/>
      <c r="AR793" s="41"/>
    </row>
    <row r="794" ht="14.25" customHeight="1">
      <c r="A794" s="41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1"/>
      <c r="AR794" s="41"/>
    </row>
    <row r="795" ht="14.25" customHeight="1">
      <c r="A795" s="41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1"/>
      <c r="AR795" s="41"/>
    </row>
    <row r="796" ht="14.25" customHeight="1">
      <c r="A796" s="41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1"/>
      <c r="AR796" s="41"/>
    </row>
    <row r="797" ht="14.25" customHeight="1">
      <c r="A797" s="41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1"/>
      <c r="AR797" s="41"/>
    </row>
    <row r="798" ht="14.25" customHeight="1">
      <c r="A798" s="41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1"/>
      <c r="AR798" s="41"/>
    </row>
    <row r="799" ht="14.25" customHeight="1">
      <c r="A799" s="41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1"/>
      <c r="AR799" s="41"/>
    </row>
    <row r="800" ht="14.25" customHeight="1">
      <c r="A800" s="41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1"/>
      <c r="AR800" s="41"/>
    </row>
    <row r="801" ht="14.25" customHeight="1">
      <c r="A801" s="41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1"/>
      <c r="AR801" s="41"/>
    </row>
    <row r="802" ht="14.25" customHeight="1">
      <c r="A802" s="41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1"/>
      <c r="AR802" s="41"/>
    </row>
    <row r="803" ht="14.25" customHeight="1">
      <c r="A803" s="41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1"/>
      <c r="AR803" s="41"/>
    </row>
    <row r="804" ht="14.25" customHeight="1">
      <c r="A804" s="41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1"/>
      <c r="AR804" s="41"/>
    </row>
    <row r="805" ht="14.25" customHeight="1">
      <c r="A805" s="41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1"/>
      <c r="AR805" s="41"/>
    </row>
    <row r="806" ht="14.25" customHeight="1">
      <c r="A806" s="41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1"/>
      <c r="AR806" s="41"/>
    </row>
    <row r="807" ht="14.25" customHeight="1">
      <c r="A807" s="41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1"/>
      <c r="AR807" s="41"/>
    </row>
    <row r="808" ht="14.25" customHeight="1">
      <c r="A808" s="41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1"/>
      <c r="AR808" s="41"/>
    </row>
    <row r="809" ht="14.25" customHeight="1">
      <c r="A809" s="41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1"/>
      <c r="AR809" s="41"/>
    </row>
    <row r="810" ht="14.25" customHeight="1">
      <c r="A810" s="41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1"/>
      <c r="AR810" s="41"/>
    </row>
    <row r="811" ht="14.25" customHeight="1">
      <c r="A811" s="41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1"/>
      <c r="AR811" s="41"/>
    </row>
    <row r="812" ht="14.25" customHeight="1">
      <c r="A812" s="41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1"/>
      <c r="AR812" s="41"/>
    </row>
    <row r="813" ht="14.25" customHeight="1">
      <c r="A813" s="41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1"/>
      <c r="AR813" s="41"/>
    </row>
    <row r="814" ht="14.25" customHeight="1">
      <c r="A814" s="41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1"/>
      <c r="AR814" s="41"/>
    </row>
    <row r="815" ht="14.25" customHeight="1">
      <c r="A815" s="41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1"/>
      <c r="AR815" s="41"/>
    </row>
    <row r="816" ht="14.25" customHeight="1">
      <c r="A816" s="41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1"/>
      <c r="AR816" s="41"/>
    </row>
    <row r="817" ht="14.25" customHeight="1">
      <c r="A817" s="41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1"/>
      <c r="AR817" s="41"/>
    </row>
    <row r="818" ht="14.25" customHeight="1">
      <c r="A818" s="41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1"/>
      <c r="AR818" s="41"/>
    </row>
    <row r="819" ht="14.25" customHeight="1">
      <c r="A819" s="41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1"/>
      <c r="AR819" s="41"/>
    </row>
    <row r="820" ht="14.25" customHeight="1">
      <c r="A820" s="41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1"/>
      <c r="AR820" s="41"/>
    </row>
    <row r="821" ht="14.25" customHeight="1">
      <c r="A821" s="41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1"/>
      <c r="AR821" s="41"/>
    </row>
    <row r="822" ht="14.25" customHeight="1">
      <c r="A822" s="41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1"/>
      <c r="AR822" s="41"/>
    </row>
    <row r="823" ht="14.25" customHeight="1">
      <c r="A823" s="41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1"/>
      <c r="AR823" s="41"/>
    </row>
    <row r="824" ht="14.25" customHeight="1">
      <c r="A824" s="41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1"/>
      <c r="AR824" s="41"/>
    </row>
    <row r="825" ht="14.25" customHeight="1">
      <c r="A825" s="41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1"/>
      <c r="AR825" s="41"/>
    </row>
    <row r="826" ht="14.25" customHeight="1">
      <c r="A826" s="41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1"/>
      <c r="AR826" s="41"/>
    </row>
    <row r="827" ht="14.25" customHeight="1">
      <c r="A827" s="41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1"/>
      <c r="AR827" s="41"/>
    </row>
    <row r="828" ht="14.25" customHeight="1">
      <c r="A828" s="41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1"/>
      <c r="AR828" s="41"/>
    </row>
    <row r="829" ht="14.25" customHeight="1">
      <c r="A829" s="41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1"/>
      <c r="AR829" s="41"/>
    </row>
    <row r="830" ht="14.25" customHeight="1">
      <c r="A830" s="41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1"/>
      <c r="AR830" s="41"/>
    </row>
    <row r="831" ht="14.25" customHeight="1">
      <c r="A831" s="41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1"/>
      <c r="AR831" s="41"/>
    </row>
    <row r="832" ht="14.25" customHeight="1">
      <c r="A832" s="41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1"/>
      <c r="AR832" s="41"/>
    </row>
    <row r="833" ht="14.25" customHeight="1">
      <c r="A833" s="41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1"/>
      <c r="AR833" s="41"/>
    </row>
    <row r="834" ht="14.25" customHeight="1">
      <c r="A834" s="41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1"/>
      <c r="AR834" s="41"/>
    </row>
    <row r="835" ht="14.25" customHeight="1">
      <c r="A835" s="41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1"/>
      <c r="AR835" s="41"/>
    </row>
    <row r="836" ht="14.25" customHeight="1">
      <c r="A836" s="41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1"/>
      <c r="AR836" s="41"/>
    </row>
    <row r="837" ht="14.25" customHeight="1">
      <c r="A837" s="41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1"/>
      <c r="AR837" s="41"/>
    </row>
    <row r="838" ht="14.25" customHeight="1">
      <c r="A838" s="41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1"/>
      <c r="AR838" s="41"/>
    </row>
    <row r="839" ht="14.25" customHeight="1">
      <c r="A839" s="41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1"/>
      <c r="AR839" s="41"/>
    </row>
    <row r="840" ht="14.25" customHeight="1">
      <c r="A840" s="41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1"/>
      <c r="AR840" s="41"/>
    </row>
    <row r="841" ht="14.25" customHeight="1">
      <c r="A841" s="41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1"/>
      <c r="AR841" s="41"/>
    </row>
    <row r="842" ht="14.25" customHeight="1">
      <c r="A842" s="41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1"/>
      <c r="AR842" s="41"/>
    </row>
    <row r="843" ht="14.25" customHeight="1">
      <c r="A843" s="41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1"/>
      <c r="AR843" s="41"/>
    </row>
    <row r="844" ht="14.25" customHeight="1">
      <c r="A844" s="41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1"/>
      <c r="AR844" s="41"/>
    </row>
    <row r="845" ht="14.25" customHeight="1">
      <c r="A845" s="41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1"/>
      <c r="AR845" s="41"/>
    </row>
    <row r="846" ht="14.25" customHeight="1">
      <c r="A846" s="41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1"/>
      <c r="AR846" s="41"/>
    </row>
    <row r="847" ht="14.25" customHeight="1">
      <c r="A847" s="41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1"/>
      <c r="AR847" s="41"/>
    </row>
    <row r="848" ht="14.25" customHeight="1">
      <c r="A848" s="41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1"/>
      <c r="AR848" s="41"/>
    </row>
    <row r="849" ht="14.25" customHeight="1">
      <c r="A849" s="41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1"/>
      <c r="AR849" s="41"/>
    </row>
    <row r="850" ht="14.25" customHeight="1">
      <c r="A850" s="41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1"/>
      <c r="AR850" s="41"/>
    </row>
    <row r="851" ht="14.25" customHeight="1">
      <c r="A851" s="41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1"/>
      <c r="AR851" s="41"/>
    </row>
    <row r="852" ht="14.25" customHeight="1">
      <c r="A852" s="41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1"/>
      <c r="AR852" s="41"/>
    </row>
    <row r="853" ht="14.25" customHeight="1">
      <c r="A853" s="41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1"/>
      <c r="AR853" s="41"/>
    </row>
    <row r="854" ht="14.25" customHeight="1">
      <c r="A854" s="41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1"/>
      <c r="AR854" s="41"/>
    </row>
    <row r="855" ht="14.25" customHeight="1">
      <c r="A855" s="41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1"/>
      <c r="AR855" s="41"/>
    </row>
    <row r="856" ht="14.25" customHeight="1">
      <c r="A856" s="41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1"/>
      <c r="AR856" s="41"/>
    </row>
    <row r="857" ht="14.25" customHeight="1">
      <c r="A857" s="41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1"/>
      <c r="AR857" s="41"/>
    </row>
    <row r="858" ht="14.25" customHeight="1">
      <c r="A858" s="41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1"/>
      <c r="AR858" s="41"/>
    </row>
    <row r="859" ht="14.25" customHeight="1">
      <c r="A859" s="41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1"/>
      <c r="AR859" s="41"/>
    </row>
    <row r="860" ht="14.25" customHeight="1">
      <c r="A860" s="41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1"/>
      <c r="AR860" s="41"/>
    </row>
    <row r="861" ht="14.25" customHeight="1">
      <c r="A861" s="41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1"/>
      <c r="AR861" s="41"/>
    </row>
    <row r="862" ht="14.25" customHeight="1">
      <c r="A862" s="41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1"/>
      <c r="AR862" s="41"/>
    </row>
    <row r="863" ht="14.25" customHeight="1">
      <c r="A863" s="41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1"/>
      <c r="AR863" s="41"/>
    </row>
    <row r="864" ht="14.25" customHeight="1">
      <c r="A864" s="41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1"/>
      <c r="AR864" s="41"/>
    </row>
    <row r="865" ht="14.25" customHeight="1">
      <c r="A865" s="41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1"/>
      <c r="AR865" s="41"/>
    </row>
    <row r="866" ht="14.25" customHeight="1">
      <c r="A866" s="41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1"/>
      <c r="AR866" s="41"/>
    </row>
    <row r="867" ht="14.25" customHeight="1">
      <c r="A867" s="41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1"/>
      <c r="AR867" s="41"/>
    </row>
    <row r="868" ht="14.25" customHeight="1">
      <c r="A868" s="41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1"/>
      <c r="AR868" s="41"/>
    </row>
    <row r="869" ht="14.25" customHeight="1">
      <c r="A869" s="41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1"/>
      <c r="AR869" s="41"/>
    </row>
    <row r="870" ht="14.25" customHeight="1">
      <c r="A870" s="41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1"/>
      <c r="AR870" s="41"/>
    </row>
    <row r="871" ht="14.25" customHeight="1">
      <c r="A871" s="41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1"/>
      <c r="AR871" s="41"/>
    </row>
    <row r="872" ht="14.25" customHeight="1">
      <c r="A872" s="41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1"/>
      <c r="AR872" s="41"/>
    </row>
    <row r="873" ht="14.25" customHeight="1">
      <c r="A873" s="41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1"/>
      <c r="AR873" s="41"/>
    </row>
    <row r="874" ht="14.25" customHeight="1">
      <c r="A874" s="41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1"/>
      <c r="AR874" s="41"/>
    </row>
    <row r="875" ht="14.25" customHeight="1">
      <c r="A875" s="41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1"/>
      <c r="AR875" s="41"/>
    </row>
    <row r="876" ht="14.25" customHeight="1">
      <c r="A876" s="41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1"/>
      <c r="AR876" s="41"/>
    </row>
    <row r="877" ht="14.25" customHeight="1">
      <c r="A877" s="41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1"/>
      <c r="AR877" s="41"/>
    </row>
    <row r="878" ht="14.25" customHeight="1">
      <c r="A878" s="41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1"/>
      <c r="AR878" s="41"/>
    </row>
    <row r="879" ht="14.25" customHeight="1">
      <c r="A879" s="41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1"/>
      <c r="AR879" s="41"/>
    </row>
    <row r="880" ht="14.25" customHeight="1">
      <c r="A880" s="41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1"/>
      <c r="AR880" s="41"/>
    </row>
    <row r="881" ht="14.25" customHeight="1">
      <c r="A881" s="41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1"/>
      <c r="AR881" s="41"/>
    </row>
    <row r="882" ht="14.25" customHeight="1">
      <c r="A882" s="41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1"/>
      <c r="AR882" s="41"/>
    </row>
    <row r="883" ht="14.25" customHeight="1">
      <c r="A883" s="41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1"/>
      <c r="AR883" s="41"/>
    </row>
    <row r="884" ht="14.25" customHeight="1">
      <c r="A884" s="41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1"/>
      <c r="AR884" s="41"/>
    </row>
    <row r="885" ht="14.25" customHeight="1">
      <c r="A885" s="41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1"/>
      <c r="AR885" s="41"/>
    </row>
    <row r="886" ht="14.25" customHeight="1">
      <c r="A886" s="41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1"/>
      <c r="AR886" s="41"/>
    </row>
    <row r="887" ht="14.25" customHeight="1">
      <c r="A887" s="41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1"/>
      <c r="AR887" s="41"/>
    </row>
    <row r="888" ht="14.25" customHeight="1">
      <c r="A888" s="41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1"/>
      <c r="AR888" s="41"/>
    </row>
    <row r="889" ht="14.25" customHeight="1">
      <c r="A889" s="41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1"/>
      <c r="AR889" s="41"/>
    </row>
    <row r="890" ht="14.25" customHeight="1">
      <c r="A890" s="41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1"/>
      <c r="AR890" s="41"/>
    </row>
    <row r="891" ht="14.25" customHeight="1">
      <c r="A891" s="41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1"/>
      <c r="AR891" s="41"/>
    </row>
    <row r="892" ht="14.25" customHeight="1">
      <c r="A892" s="41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1"/>
      <c r="AR892" s="41"/>
    </row>
    <row r="893" ht="14.25" customHeight="1">
      <c r="A893" s="41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1"/>
      <c r="AR893" s="41"/>
    </row>
    <row r="894" ht="14.25" customHeight="1">
      <c r="A894" s="41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1"/>
      <c r="AR894" s="41"/>
    </row>
    <row r="895" ht="14.25" customHeight="1">
      <c r="A895" s="41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1"/>
      <c r="AR895" s="41"/>
    </row>
    <row r="896" ht="14.25" customHeight="1">
      <c r="A896" s="41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1"/>
      <c r="AR896" s="41"/>
    </row>
    <row r="897" ht="14.25" customHeight="1">
      <c r="A897" s="41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1"/>
      <c r="AR897" s="41"/>
    </row>
    <row r="898" ht="14.25" customHeight="1">
      <c r="A898" s="41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1"/>
      <c r="AR898" s="41"/>
    </row>
    <row r="899" ht="14.25" customHeight="1">
      <c r="A899" s="41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1"/>
      <c r="AR899" s="41"/>
    </row>
    <row r="900" ht="14.25" customHeight="1">
      <c r="A900" s="41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1"/>
      <c r="AR900" s="41"/>
    </row>
    <row r="901" ht="14.25" customHeight="1">
      <c r="A901" s="41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1"/>
      <c r="AR901" s="41"/>
    </row>
    <row r="902" ht="14.25" customHeight="1">
      <c r="A902" s="41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1"/>
      <c r="AR902" s="41"/>
    </row>
    <row r="903" ht="14.25" customHeight="1">
      <c r="A903" s="41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1"/>
      <c r="AR903" s="41"/>
    </row>
    <row r="904" ht="14.25" customHeight="1">
      <c r="A904" s="41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1"/>
      <c r="AR904" s="41"/>
    </row>
    <row r="905" ht="14.25" customHeight="1">
      <c r="A905" s="41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1"/>
      <c r="AR905" s="41"/>
    </row>
    <row r="906" ht="14.25" customHeight="1">
      <c r="A906" s="41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1"/>
      <c r="AR906" s="41"/>
    </row>
    <row r="907" ht="14.25" customHeight="1">
      <c r="A907" s="41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1"/>
      <c r="AR907" s="41"/>
    </row>
    <row r="908" ht="14.25" customHeight="1">
      <c r="A908" s="41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1"/>
      <c r="AR908" s="41"/>
    </row>
    <row r="909" ht="14.25" customHeight="1">
      <c r="A909" s="41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1"/>
      <c r="AR909" s="41"/>
    </row>
    <row r="910" ht="14.25" customHeight="1">
      <c r="A910" s="41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1"/>
      <c r="AR910" s="41"/>
    </row>
    <row r="911" ht="14.25" customHeight="1">
      <c r="A911" s="41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1"/>
      <c r="AR911" s="41"/>
    </row>
    <row r="912" ht="14.25" customHeight="1">
      <c r="A912" s="41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1"/>
      <c r="AR912" s="41"/>
    </row>
    <row r="913" ht="14.25" customHeight="1">
      <c r="A913" s="41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1"/>
      <c r="AR913" s="41"/>
    </row>
    <row r="914" ht="14.25" customHeight="1">
      <c r="A914" s="41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1"/>
      <c r="AR914" s="41"/>
    </row>
    <row r="915" ht="14.25" customHeight="1">
      <c r="A915" s="41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1"/>
      <c r="AR915" s="41"/>
    </row>
    <row r="916" ht="14.25" customHeight="1">
      <c r="A916" s="41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1"/>
      <c r="AR916" s="41"/>
    </row>
    <row r="917" ht="14.25" customHeight="1">
      <c r="A917" s="41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1"/>
      <c r="AR917" s="41"/>
    </row>
    <row r="918" ht="14.25" customHeight="1">
      <c r="A918" s="41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1"/>
      <c r="AR918" s="41"/>
    </row>
    <row r="919" ht="14.25" customHeight="1">
      <c r="A919" s="41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1"/>
      <c r="AR919" s="41"/>
    </row>
    <row r="920" ht="14.25" customHeight="1">
      <c r="A920" s="41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1"/>
      <c r="AR920" s="41"/>
    </row>
    <row r="921" ht="14.25" customHeight="1">
      <c r="A921" s="41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1"/>
      <c r="AR921" s="41"/>
    </row>
    <row r="922" ht="14.25" customHeight="1">
      <c r="A922" s="41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1"/>
      <c r="AR922" s="41"/>
    </row>
    <row r="923" ht="14.25" customHeight="1">
      <c r="A923" s="41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1"/>
      <c r="AR923" s="41"/>
    </row>
    <row r="924" ht="14.25" customHeight="1">
      <c r="A924" s="41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1"/>
      <c r="AR924" s="41"/>
    </row>
    <row r="925" ht="14.25" customHeight="1">
      <c r="A925" s="41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1"/>
      <c r="AR925" s="41"/>
    </row>
    <row r="926" ht="14.25" customHeight="1">
      <c r="A926" s="41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1"/>
      <c r="AR926" s="41"/>
    </row>
    <row r="927" ht="14.25" customHeight="1">
      <c r="A927" s="41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1"/>
      <c r="AR927" s="41"/>
    </row>
    <row r="928" ht="14.25" customHeight="1">
      <c r="A928" s="41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1"/>
      <c r="AR928" s="41"/>
    </row>
    <row r="929" ht="14.25" customHeight="1">
      <c r="A929" s="41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1"/>
      <c r="AR929" s="41"/>
    </row>
    <row r="930" ht="14.25" customHeight="1">
      <c r="A930" s="41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1"/>
      <c r="AR930" s="41"/>
    </row>
    <row r="931" ht="14.25" customHeight="1">
      <c r="A931" s="41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1"/>
      <c r="AR931" s="41"/>
    </row>
    <row r="932" ht="14.25" customHeight="1">
      <c r="A932" s="41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1"/>
      <c r="AR932" s="41"/>
    </row>
    <row r="933" ht="14.25" customHeight="1">
      <c r="A933" s="41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1"/>
      <c r="AR933" s="41"/>
    </row>
    <row r="934" ht="14.25" customHeight="1">
      <c r="A934" s="41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1"/>
      <c r="AR934" s="41"/>
    </row>
    <row r="935" ht="14.25" customHeight="1">
      <c r="A935" s="41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1"/>
      <c r="AR935" s="41"/>
    </row>
    <row r="936" ht="14.25" customHeight="1">
      <c r="A936" s="41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1"/>
      <c r="AR936" s="41"/>
    </row>
    <row r="937" ht="14.25" customHeight="1">
      <c r="A937" s="41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1"/>
      <c r="AR937" s="41"/>
    </row>
    <row r="938" ht="14.25" customHeight="1">
      <c r="A938" s="41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1"/>
      <c r="AR938" s="41"/>
    </row>
    <row r="939" ht="14.25" customHeight="1">
      <c r="A939" s="41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1"/>
      <c r="AR939" s="41"/>
    </row>
    <row r="940" ht="14.25" customHeight="1">
      <c r="A940" s="41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1"/>
      <c r="AR940" s="41"/>
    </row>
    <row r="941" ht="14.25" customHeight="1">
      <c r="A941" s="41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1"/>
      <c r="AR941" s="41"/>
    </row>
    <row r="942" ht="14.25" customHeight="1">
      <c r="A942" s="41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1"/>
      <c r="AR942" s="41"/>
    </row>
    <row r="943" ht="14.25" customHeight="1">
      <c r="A943" s="41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1"/>
      <c r="AR943" s="41"/>
    </row>
    <row r="944" ht="14.25" customHeight="1">
      <c r="A944" s="41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1"/>
      <c r="AR944" s="41"/>
    </row>
    <row r="945" ht="14.25" customHeight="1">
      <c r="A945" s="41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1"/>
      <c r="AR945" s="41"/>
    </row>
    <row r="946" ht="14.25" customHeight="1">
      <c r="A946" s="41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1"/>
      <c r="AR946" s="41"/>
    </row>
    <row r="947" ht="14.25" customHeight="1">
      <c r="A947" s="41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1"/>
      <c r="AR947" s="41"/>
    </row>
    <row r="948" ht="14.25" customHeight="1">
      <c r="A948" s="41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1"/>
      <c r="AR948" s="41"/>
    </row>
    <row r="949" ht="14.25" customHeight="1">
      <c r="A949" s="41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1"/>
      <c r="AR949" s="41"/>
    </row>
    <row r="950" ht="14.25" customHeight="1">
      <c r="A950" s="41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1"/>
      <c r="AR950" s="41"/>
    </row>
    <row r="951" ht="14.25" customHeight="1">
      <c r="A951" s="41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1"/>
      <c r="AR951" s="41"/>
    </row>
    <row r="952" ht="14.25" customHeight="1">
      <c r="A952" s="41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1"/>
      <c r="AR952" s="41"/>
    </row>
    <row r="953" ht="14.25" customHeight="1">
      <c r="A953" s="41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1"/>
      <c r="AR953" s="41"/>
    </row>
    <row r="954" ht="14.25" customHeight="1">
      <c r="A954" s="41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1"/>
      <c r="AR954" s="41"/>
    </row>
    <row r="955" ht="14.25" customHeight="1">
      <c r="A955" s="41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1"/>
      <c r="AR955" s="41"/>
    </row>
    <row r="956" ht="14.25" customHeight="1">
      <c r="A956" s="41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1"/>
      <c r="AR956" s="41"/>
    </row>
    <row r="957" ht="14.25" customHeight="1">
      <c r="A957" s="41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1"/>
      <c r="AR957" s="41"/>
    </row>
    <row r="958" ht="14.25" customHeight="1">
      <c r="A958" s="41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1"/>
      <c r="AR958" s="41"/>
    </row>
    <row r="959" ht="14.25" customHeight="1">
      <c r="A959" s="41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1"/>
      <c r="AR959" s="41"/>
    </row>
    <row r="960" ht="14.25" customHeight="1">
      <c r="A960" s="41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1"/>
      <c r="AR960" s="41"/>
    </row>
    <row r="961" ht="14.25" customHeight="1">
      <c r="A961" s="41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1"/>
      <c r="AR961" s="41"/>
    </row>
    <row r="962" ht="14.25" customHeight="1">
      <c r="A962" s="41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1"/>
      <c r="AR962" s="41"/>
    </row>
    <row r="963" ht="14.25" customHeight="1">
      <c r="A963" s="41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1"/>
      <c r="AR963" s="41"/>
    </row>
    <row r="964" ht="14.25" customHeight="1">
      <c r="A964" s="41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1"/>
      <c r="AR964" s="41"/>
    </row>
    <row r="965" ht="14.25" customHeight="1">
      <c r="A965" s="41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1"/>
      <c r="AR965" s="41"/>
    </row>
    <row r="966" ht="14.25" customHeight="1">
      <c r="A966" s="41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1"/>
      <c r="AR966" s="41"/>
    </row>
    <row r="967" ht="14.25" customHeight="1">
      <c r="A967" s="41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1"/>
      <c r="AR967" s="41"/>
    </row>
    <row r="968" ht="14.25" customHeight="1">
      <c r="A968" s="41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1"/>
      <c r="AR968" s="41"/>
    </row>
    <row r="969" ht="14.25" customHeight="1">
      <c r="A969" s="41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1"/>
      <c r="AR969" s="41"/>
    </row>
    <row r="970" ht="14.25" customHeight="1">
      <c r="A970" s="41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1"/>
      <c r="AR970" s="41"/>
    </row>
    <row r="971" ht="14.25" customHeight="1">
      <c r="A971" s="41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1"/>
      <c r="AR971" s="41"/>
    </row>
    <row r="972" ht="14.25" customHeight="1">
      <c r="A972" s="41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1"/>
      <c r="AR972" s="41"/>
    </row>
    <row r="973" ht="14.25" customHeight="1">
      <c r="A973" s="41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1"/>
      <c r="AR973" s="41"/>
    </row>
    <row r="974" ht="14.25" customHeight="1">
      <c r="A974" s="41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1"/>
      <c r="AR974" s="41"/>
    </row>
    <row r="975" ht="14.25" customHeight="1">
      <c r="A975" s="41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1"/>
      <c r="AR975" s="41"/>
    </row>
    <row r="976" ht="14.25" customHeight="1">
      <c r="A976" s="41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1"/>
      <c r="AR976" s="41"/>
    </row>
    <row r="977" ht="14.25" customHeight="1">
      <c r="A977" s="41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1"/>
      <c r="AR977" s="41"/>
    </row>
    <row r="978" ht="14.25" customHeight="1">
      <c r="A978" s="41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1"/>
      <c r="AR978" s="41"/>
    </row>
    <row r="979" ht="14.25" customHeight="1">
      <c r="A979" s="41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1"/>
      <c r="AR979" s="41"/>
    </row>
    <row r="980" ht="14.25" customHeight="1">
      <c r="A980" s="41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1"/>
      <c r="AR980" s="41"/>
    </row>
    <row r="981" ht="14.25" customHeight="1">
      <c r="A981" s="41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1"/>
      <c r="AR981" s="41"/>
    </row>
    <row r="982" ht="14.25" customHeight="1">
      <c r="A982" s="41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1"/>
      <c r="AR982" s="41"/>
    </row>
    <row r="983" ht="14.25" customHeight="1">
      <c r="A983" s="41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1"/>
      <c r="AR983" s="41"/>
    </row>
    <row r="984" ht="14.25" customHeight="1">
      <c r="A984" s="41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1"/>
      <c r="AR984" s="41"/>
    </row>
    <row r="985" ht="14.25" customHeight="1">
      <c r="A985" s="41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1"/>
      <c r="AR985" s="41"/>
    </row>
    <row r="986" ht="14.25" customHeight="1">
      <c r="A986" s="41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1"/>
      <c r="AR986" s="41"/>
    </row>
    <row r="987" ht="14.25" customHeight="1">
      <c r="A987" s="41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1"/>
      <c r="AR987" s="41"/>
    </row>
    <row r="988" ht="14.25" customHeight="1">
      <c r="A988" s="41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1"/>
      <c r="AR988" s="41"/>
    </row>
    <row r="989" ht="14.25" customHeight="1">
      <c r="A989" s="41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1"/>
      <c r="AR989" s="41"/>
    </row>
    <row r="990" ht="14.25" customHeight="1">
      <c r="A990" s="41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1"/>
      <c r="AR990" s="41"/>
    </row>
    <row r="991" ht="14.25" customHeight="1">
      <c r="A991" s="41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1"/>
      <c r="AR991" s="41"/>
    </row>
    <row r="992" ht="14.25" customHeight="1">
      <c r="A992" s="41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1"/>
      <c r="AR992" s="41"/>
    </row>
    <row r="993" ht="14.25" customHeight="1">
      <c r="A993" s="41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1"/>
      <c r="AR993" s="41"/>
    </row>
    <row r="994" ht="14.25" customHeight="1">
      <c r="A994" s="41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1"/>
      <c r="AR994" s="41"/>
    </row>
    <row r="995" ht="14.25" customHeight="1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1"/>
      <c r="AR995" s="41"/>
    </row>
    <row r="996" ht="14.25" customHeight="1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1"/>
      <c r="AR996" s="41"/>
    </row>
    <row r="997" ht="14.25" customHeight="1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1"/>
      <c r="AR997" s="41"/>
    </row>
    <row r="998" ht="14.25" customHeight="1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1"/>
      <c r="AR998" s="41"/>
    </row>
    <row r="999" ht="14.25" customHeight="1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1"/>
      <c r="AR999" s="41"/>
    </row>
    <row r="1000" ht="14.25" customHeight="1">
      <c r="A1000" s="41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1"/>
      <c r="AR1000" s="41"/>
    </row>
    <row r="1001" ht="14.25" customHeight="1">
      <c r="A1001" s="41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1"/>
      <c r="AR1001" s="41"/>
    </row>
    <row r="1002" ht="14.25" customHeight="1">
      <c r="A1002" s="41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1"/>
      <c r="AR1002" s="41"/>
    </row>
    <row r="1003" ht="14.25" customHeight="1">
      <c r="A1003" s="41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1"/>
      <c r="AR1003" s="41"/>
    </row>
    <row r="1004" ht="14.25" customHeight="1">
      <c r="A1004" s="41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1"/>
      <c r="AR1004" s="41"/>
    </row>
    <row r="1005" ht="14.25" customHeight="1">
      <c r="A1005" s="41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1"/>
      <c r="AR1005" s="41"/>
    </row>
    <row r="1006" ht="14.25" customHeight="1">
      <c r="A1006" s="41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1"/>
      <c r="AR1006" s="41"/>
    </row>
    <row r="1007" ht="14.25" customHeight="1">
      <c r="A1007" s="41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1"/>
      <c r="AR1007" s="41"/>
    </row>
    <row r="1008" ht="14.25" customHeight="1">
      <c r="A1008" s="41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1"/>
      <c r="AR1008" s="41"/>
    </row>
    <row r="1009" ht="14.25" customHeight="1">
      <c r="A1009" s="41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1"/>
      <c r="AR1009" s="41"/>
    </row>
    <row r="1010" ht="14.25" customHeight="1">
      <c r="A1010" s="41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1"/>
      <c r="AR1010" s="41"/>
    </row>
    <row r="1011" ht="14.25" customHeight="1">
      <c r="A1011" s="41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1"/>
      <c r="AR1011" s="41"/>
    </row>
    <row r="1012" ht="14.25" customHeight="1">
      <c r="A1012" s="41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1"/>
      <c r="AR1012" s="41"/>
    </row>
    <row r="1013" ht="14.25" customHeight="1">
      <c r="A1013" s="41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1"/>
      <c r="AR1013" s="41"/>
    </row>
    <row r="1014" ht="14.25" customHeight="1">
      <c r="A1014" s="41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1"/>
      <c r="AR1014" s="41"/>
    </row>
    <row r="1015" ht="14.25" customHeight="1">
      <c r="A1015" s="41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1"/>
      <c r="AR1015" s="41"/>
    </row>
    <row r="1016" ht="14.25" customHeight="1">
      <c r="A1016" s="41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1"/>
      <c r="AR1016" s="41"/>
    </row>
    <row r="1017" ht="14.25" customHeight="1">
      <c r="A1017" s="41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1"/>
      <c r="AR1017" s="41"/>
    </row>
    <row r="1018" ht="14.25" customHeight="1">
      <c r="A1018" s="41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1"/>
      <c r="AR1018" s="41"/>
    </row>
  </sheetData>
  <mergeCells count="200">
    <mergeCell ref="H2:J2"/>
    <mergeCell ref="M2:O2"/>
    <mergeCell ref="R2:T2"/>
    <mergeCell ref="W2:Y2"/>
    <mergeCell ref="AB2:AD2"/>
    <mergeCell ref="AG2:AI2"/>
    <mergeCell ref="AL2:AN2"/>
    <mergeCell ref="AG26:AI26"/>
    <mergeCell ref="AL26:AN26"/>
    <mergeCell ref="C2:E2"/>
    <mergeCell ref="C26:E26"/>
    <mergeCell ref="H26:J26"/>
    <mergeCell ref="M26:O26"/>
    <mergeCell ref="R26:T26"/>
    <mergeCell ref="W26:Y26"/>
    <mergeCell ref="AB26:AD26"/>
    <mergeCell ref="H50:J50"/>
    <mergeCell ref="M50:O50"/>
    <mergeCell ref="R50:T50"/>
    <mergeCell ref="W50:Y50"/>
    <mergeCell ref="AB50:AD50"/>
    <mergeCell ref="AG50:AI50"/>
    <mergeCell ref="AL50:AN50"/>
    <mergeCell ref="AG51:AI51"/>
    <mergeCell ref="AL51:AN51"/>
    <mergeCell ref="AG52:AI52"/>
    <mergeCell ref="AL52:AN52"/>
    <mergeCell ref="H51:J51"/>
    <mergeCell ref="H52:J52"/>
    <mergeCell ref="AB51:AD51"/>
    <mergeCell ref="AB52:AD52"/>
    <mergeCell ref="R51:T51"/>
    <mergeCell ref="R52:T52"/>
    <mergeCell ref="R53:T53"/>
    <mergeCell ref="C50:E50"/>
    <mergeCell ref="C51:E51"/>
    <mergeCell ref="M51:O51"/>
    <mergeCell ref="W51:Y51"/>
    <mergeCell ref="C52:E52"/>
    <mergeCell ref="M52:O52"/>
    <mergeCell ref="W52:Y52"/>
    <mergeCell ref="AB53:AD53"/>
    <mergeCell ref="AB54:AD54"/>
    <mergeCell ref="AB55:AD55"/>
    <mergeCell ref="AG55:AI55"/>
    <mergeCell ref="AB56:AD56"/>
    <mergeCell ref="AG56:AI56"/>
    <mergeCell ref="AB57:AD57"/>
    <mergeCell ref="AG57:AI57"/>
    <mergeCell ref="AL53:AN53"/>
    <mergeCell ref="AL54:AN54"/>
    <mergeCell ref="AL55:AN55"/>
    <mergeCell ref="AL56:AN56"/>
    <mergeCell ref="AL57:AN57"/>
    <mergeCell ref="C53:E53"/>
    <mergeCell ref="M53:O53"/>
    <mergeCell ref="W53:Y53"/>
    <mergeCell ref="AG53:AI53"/>
    <mergeCell ref="C54:E54"/>
    <mergeCell ref="W54:Y54"/>
    <mergeCell ref="AG54:AI54"/>
    <mergeCell ref="M56:O56"/>
    <mergeCell ref="M57:O57"/>
    <mergeCell ref="R57:T57"/>
    <mergeCell ref="W57:Y57"/>
    <mergeCell ref="M54:O54"/>
    <mergeCell ref="R54:T54"/>
    <mergeCell ref="M55:O55"/>
    <mergeCell ref="R55:T55"/>
    <mergeCell ref="W55:Y55"/>
    <mergeCell ref="R56:T56"/>
    <mergeCell ref="W56:Y56"/>
    <mergeCell ref="M63:O63"/>
    <mergeCell ref="M64:O64"/>
    <mergeCell ref="H60:J60"/>
    <mergeCell ref="H61:J61"/>
    <mergeCell ref="M61:O61"/>
    <mergeCell ref="H62:J62"/>
    <mergeCell ref="M62:O62"/>
    <mergeCell ref="H63:J63"/>
    <mergeCell ref="H64:J64"/>
    <mergeCell ref="H66:J66"/>
    <mergeCell ref="M66:O66"/>
    <mergeCell ref="R66:T66"/>
    <mergeCell ref="W66:Y66"/>
    <mergeCell ref="M67:O67"/>
    <mergeCell ref="R67:T67"/>
    <mergeCell ref="W67:Y67"/>
    <mergeCell ref="W68:Y68"/>
    <mergeCell ref="W69:Y69"/>
    <mergeCell ref="W70:Y70"/>
    <mergeCell ref="W71:Y71"/>
    <mergeCell ref="W72:Y72"/>
    <mergeCell ref="M69:O69"/>
    <mergeCell ref="M70:O70"/>
    <mergeCell ref="M71:O71"/>
    <mergeCell ref="M72:O72"/>
    <mergeCell ref="H70:J70"/>
    <mergeCell ref="H71:J71"/>
    <mergeCell ref="H72:J72"/>
    <mergeCell ref="R71:T71"/>
    <mergeCell ref="R72:T72"/>
    <mergeCell ref="H67:J67"/>
    <mergeCell ref="H68:J68"/>
    <mergeCell ref="M68:O68"/>
    <mergeCell ref="R68:T68"/>
    <mergeCell ref="H69:J69"/>
    <mergeCell ref="R69:T69"/>
    <mergeCell ref="R70:T70"/>
    <mergeCell ref="AG64:AI64"/>
    <mergeCell ref="AG66:AI66"/>
    <mergeCell ref="AG67:AI67"/>
    <mergeCell ref="AG68:AI68"/>
    <mergeCell ref="AG69:AI69"/>
    <mergeCell ref="AG70:AI70"/>
    <mergeCell ref="AG71:AI71"/>
    <mergeCell ref="AG72:AI72"/>
    <mergeCell ref="AB59:AD59"/>
    <mergeCell ref="AB60:AD60"/>
    <mergeCell ref="AB61:AD61"/>
    <mergeCell ref="AG61:AI61"/>
    <mergeCell ref="AB62:AD62"/>
    <mergeCell ref="AG62:AI62"/>
    <mergeCell ref="AG63:AI63"/>
    <mergeCell ref="AB71:AD71"/>
    <mergeCell ref="AB72:AD72"/>
    <mergeCell ref="AB63:AD63"/>
    <mergeCell ref="AB64:AD64"/>
    <mergeCell ref="AB66:AD66"/>
    <mergeCell ref="AB67:AD67"/>
    <mergeCell ref="AB68:AD68"/>
    <mergeCell ref="AB69:AD69"/>
    <mergeCell ref="AB70:AD70"/>
    <mergeCell ref="C65:E65"/>
    <mergeCell ref="C66:E66"/>
    <mergeCell ref="C67:E67"/>
    <mergeCell ref="C68:E68"/>
    <mergeCell ref="C69:E69"/>
    <mergeCell ref="C70:E70"/>
    <mergeCell ref="C71:E71"/>
    <mergeCell ref="C72:E72"/>
    <mergeCell ref="C56:E56"/>
    <mergeCell ref="C59:E59"/>
    <mergeCell ref="C60:E60"/>
    <mergeCell ref="C61:E61"/>
    <mergeCell ref="C62:E62"/>
    <mergeCell ref="C63:E63"/>
    <mergeCell ref="C64:E64"/>
    <mergeCell ref="C57:E57"/>
    <mergeCell ref="C58:E58"/>
    <mergeCell ref="M58:O58"/>
    <mergeCell ref="R58:T58"/>
    <mergeCell ref="W58:Y58"/>
    <mergeCell ref="AB58:AD58"/>
    <mergeCell ref="AG58:AI58"/>
    <mergeCell ref="AL58:AN58"/>
    <mergeCell ref="H59:J59"/>
    <mergeCell ref="M59:O59"/>
    <mergeCell ref="W59:Y59"/>
    <mergeCell ref="AG59:AI59"/>
    <mergeCell ref="M60:O60"/>
    <mergeCell ref="W60:Y60"/>
    <mergeCell ref="AG60:AI60"/>
    <mergeCell ref="H53:J53"/>
    <mergeCell ref="H54:J54"/>
    <mergeCell ref="C55:E55"/>
    <mergeCell ref="H55:J55"/>
    <mergeCell ref="H56:J56"/>
    <mergeCell ref="H57:J57"/>
    <mergeCell ref="H58:J58"/>
    <mergeCell ref="R63:T63"/>
    <mergeCell ref="R64:T64"/>
    <mergeCell ref="H65:J65"/>
    <mergeCell ref="M65:O65"/>
    <mergeCell ref="R65:T65"/>
    <mergeCell ref="W64:Y64"/>
    <mergeCell ref="W65:Y65"/>
    <mergeCell ref="AB65:AD65"/>
    <mergeCell ref="AG65:AI65"/>
    <mergeCell ref="R59:T59"/>
    <mergeCell ref="R60:T60"/>
    <mergeCell ref="R61:T61"/>
    <mergeCell ref="W61:Y61"/>
    <mergeCell ref="R62:T62"/>
    <mergeCell ref="W62:Y62"/>
    <mergeCell ref="W63:Y63"/>
    <mergeCell ref="AL66:AN66"/>
    <mergeCell ref="AL67:AN67"/>
    <mergeCell ref="AL68:AN68"/>
    <mergeCell ref="AL69:AN69"/>
    <mergeCell ref="AL70:AN70"/>
    <mergeCell ref="AL71:AN71"/>
    <mergeCell ref="AL72:AN72"/>
    <mergeCell ref="AL59:AN59"/>
    <mergeCell ref="AL60:AN60"/>
    <mergeCell ref="AL61:AN61"/>
    <mergeCell ref="AL62:AN62"/>
    <mergeCell ref="AL63:AN63"/>
    <mergeCell ref="AL64:AN64"/>
    <mergeCell ref="AL65:AN6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/>
  <cols>
    <col customWidth="1" min="1" max="1" width="6.13"/>
    <col customWidth="1" min="2" max="2" width="14.88"/>
    <col customWidth="1" min="3" max="3" width="16.75"/>
    <col customWidth="1" min="4" max="4" width="3.63"/>
    <col customWidth="1" min="5" max="5" width="17.25"/>
    <col customWidth="1" min="6" max="6" width="9.63" outlineLevel="1"/>
    <col customWidth="1" min="7" max="7" width="9.0" outlineLevel="1"/>
    <col customWidth="1" min="8" max="8" width="16.75"/>
    <col customWidth="1" min="9" max="9" width="3.63"/>
    <col customWidth="1" min="10" max="10" width="17.25"/>
    <col customWidth="1" min="11" max="12" width="9.0" outlineLevel="1"/>
    <col customWidth="1" min="13" max="13" width="16.75"/>
    <col customWidth="1" min="14" max="14" width="3.63"/>
    <col customWidth="1" min="15" max="15" width="17.25"/>
    <col customWidth="1" min="16" max="17" width="9.0" outlineLevel="1"/>
    <col customWidth="1" min="18" max="18" width="13.5"/>
    <col customWidth="1" min="19" max="19" width="3.63"/>
    <col customWidth="1" min="20" max="20" width="13.25"/>
    <col customWidth="1" min="21" max="22" width="9.0" outlineLevel="1"/>
    <col customWidth="1" min="23" max="23" width="14.75"/>
    <col customWidth="1" min="24" max="24" width="3.63"/>
    <col customWidth="1" min="25" max="25" width="15.25"/>
    <col customWidth="1" min="26" max="27" width="9.0" outlineLevel="1"/>
    <col customWidth="1" min="28" max="28" width="16.75"/>
    <col customWidth="1" min="29" max="29" width="3.63"/>
    <col customWidth="1" min="30" max="30" width="17.25"/>
    <col customWidth="1" min="31" max="31" width="9.0" outlineLevel="1"/>
    <col customWidth="1" min="32" max="32" width="9.38" outlineLevel="1"/>
    <col customWidth="1" min="33" max="33" width="16.75"/>
    <col customWidth="1" min="34" max="34" width="3.63"/>
    <col customWidth="1" min="35" max="35" width="17.25"/>
    <col customWidth="1" min="36" max="37" width="9.0" outlineLevel="1"/>
    <col customWidth="1" min="38" max="38" width="13.5"/>
    <col customWidth="1" min="39" max="39" width="3.63"/>
    <col customWidth="1" min="40" max="40" width="13.88"/>
    <col customWidth="1" min="41" max="42" width="9.0" outlineLevel="1"/>
    <col customWidth="1" min="43" max="73" width="8.0"/>
  </cols>
  <sheetData>
    <row r="1" ht="14.25" customHeight="1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</row>
    <row r="2" ht="14.25" customHeight="1">
      <c r="A2" s="41"/>
      <c r="B2" s="1"/>
      <c r="C2" s="42" t="s">
        <v>110</v>
      </c>
      <c r="D2" s="43"/>
      <c r="E2" s="44"/>
      <c r="F2" s="1" t="s">
        <v>88</v>
      </c>
      <c r="G2" s="1" t="s">
        <v>89</v>
      </c>
      <c r="H2" s="42" t="s">
        <v>111</v>
      </c>
      <c r="I2" s="43"/>
      <c r="J2" s="44"/>
      <c r="K2" s="1" t="s">
        <v>88</v>
      </c>
      <c r="L2" s="1" t="s">
        <v>89</v>
      </c>
      <c r="M2" s="42" t="s">
        <v>112</v>
      </c>
      <c r="N2" s="43"/>
      <c r="O2" s="44"/>
      <c r="P2" s="1" t="s">
        <v>88</v>
      </c>
      <c r="Q2" s="1" t="s">
        <v>89</v>
      </c>
      <c r="R2" s="42" t="s">
        <v>113</v>
      </c>
      <c r="S2" s="43"/>
      <c r="T2" s="44"/>
      <c r="U2" s="1" t="s">
        <v>88</v>
      </c>
      <c r="V2" s="1" t="s">
        <v>89</v>
      </c>
      <c r="W2" s="42" t="s">
        <v>114</v>
      </c>
      <c r="X2" s="43"/>
      <c r="Y2" s="44"/>
      <c r="Z2" s="1" t="s">
        <v>88</v>
      </c>
      <c r="AA2" s="1" t="s">
        <v>89</v>
      </c>
      <c r="AB2" s="42" t="s">
        <v>115</v>
      </c>
      <c r="AC2" s="43"/>
      <c r="AD2" s="44"/>
      <c r="AE2" s="1" t="s">
        <v>88</v>
      </c>
      <c r="AF2" s="1" t="s">
        <v>89</v>
      </c>
      <c r="AG2" s="42" t="s">
        <v>116</v>
      </c>
      <c r="AH2" s="43"/>
      <c r="AI2" s="44"/>
      <c r="AJ2" s="1" t="s">
        <v>88</v>
      </c>
      <c r="AK2" s="1" t="s">
        <v>89</v>
      </c>
      <c r="AL2" s="42" t="s">
        <v>117</v>
      </c>
      <c r="AM2" s="43"/>
      <c r="AN2" s="44"/>
      <c r="AO2" s="1" t="s">
        <v>88</v>
      </c>
      <c r="AP2" s="1" t="s">
        <v>89</v>
      </c>
      <c r="AQ2" s="41"/>
      <c r="AR2" s="1" t="s">
        <v>97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14.25" customHeight="1">
      <c r="A3" s="40"/>
      <c r="B3" s="45" t="s">
        <v>9</v>
      </c>
      <c r="C3" s="46">
        <f>VLOOKUP($B3,Form_Oitavas!$C$2:$AQ$60,2,FALSE)</f>
        <v>1</v>
      </c>
      <c r="D3" s="9" t="s">
        <v>98</v>
      </c>
      <c r="E3" s="46">
        <f>VLOOKUP($B3,Form_Oitavas!$C$2:$AQ$60,3,FALSE)</f>
        <v>0</v>
      </c>
      <c r="F3" s="47" t="str">
        <f t="shared" ref="F3:F23" si="1">IF(C3&gt;E3,"casa",IF(C3=E3,"empate","visita"))</f>
        <v>casa</v>
      </c>
      <c r="G3" s="48">
        <f>IF(C3=OITAVAS!C$24,IF(OITAVAS!E$24=E3,Pesos!$N$6,IF(F3=OITAVAS!F$24,Pesos!$N$3,0)),IF(F3=OITAVAS!F$24,Pesos!$N$3,0))*IF(COUNTIF(F$3:F$23,F3)=1,2,1)</f>
        <v>1</v>
      </c>
      <c r="H3" s="49">
        <f>VLOOKUP($B3,Form_Oitavas!$C$2:$AQ$60,7,FALSE)</f>
        <v>1</v>
      </c>
      <c r="I3" s="50" t="s">
        <v>98</v>
      </c>
      <c r="J3" s="49">
        <f>VLOOKUP($B3,Form_Oitavas!$C$2:$AQ$60,8,FALSE)</f>
        <v>1</v>
      </c>
      <c r="K3" s="47" t="str">
        <f t="shared" ref="K3:K23" si="2">IF(H3&gt;J3,"casa",IF(H3=J3,"empate","visita"))</f>
        <v>empate</v>
      </c>
      <c r="L3" s="48">
        <f>IF(H3=OITAVAS!H$24,IF(OITAVAS!J$24=J3,Pesos!$N$6,IF(K3=OITAVAS!K$24,Pesos!$N$3,0)),IF(K3=OITAVAS!K$24,Pesos!$N$3,0))*IF(COUNTIF(K$3:K$23,K3)=1,2,1)</f>
        <v>0</v>
      </c>
      <c r="M3" s="49">
        <f>VLOOKUP($B3,Form_Oitavas!$C$2:$AQ$60,12,FALSE)</f>
        <v>2</v>
      </c>
      <c r="N3" s="50" t="s">
        <v>98</v>
      </c>
      <c r="O3" s="49">
        <f>VLOOKUP($B3,Form_Oitavas!$C$2:$AQ$60,13,FALSE)</f>
        <v>1</v>
      </c>
      <c r="P3" s="47" t="str">
        <f t="shared" ref="P3:P23" si="3">IF(M3&gt;O3,"casa",IF(M3=O3,"empate","visita"))</f>
        <v>casa</v>
      </c>
      <c r="Q3" s="48">
        <f>IF(M3=OITAVAS!M$24,IF(OITAVAS!O$24=O3,Pesos!$N$6,IF(P3=OITAVAS!P$24,Pesos!$N$3,0)),IF(P3=OITAVAS!P$24,Pesos!$N$3,0))*IF(COUNTIF(P$3:P$23,P3)=1,2,1)</f>
        <v>1</v>
      </c>
      <c r="R3" s="49">
        <f>VLOOKUP($B3,Form_Oitavas!$C$2:$AQ$60,17,FALSE)</f>
        <v>1</v>
      </c>
      <c r="S3" s="50" t="s">
        <v>98</v>
      </c>
      <c r="T3" s="49">
        <f>VLOOKUP($B3,Form_Oitavas!$C$2:$AQ$60,18,FALSE)</f>
        <v>1</v>
      </c>
      <c r="U3" s="47" t="str">
        <f t="shared" ref="U3:U23" si="4">IF(R3&gt;T3,"casa",IF(R3=T3,"empate","visita"))</f>
        <v>empate</v>
      </c>
      <c r="V3" s="48">
        <f>IF(R3=OITAVAS!R$24,IF(OITAVAS!T$24=T3,Pesos!$N$6,IF(U3=OITAVAS!U$24,Pesos!$N$3,0)),IF(U3=OITAVAS!U$24,Pesos!$N$3,0))*IF(COUNTIF(U$3:U$23,U3)=1,2,1)</f>
        <v>0</v>
      </c>
      <c r="W3" s="49">
        <f>VLOOKUP($B3,Form_Oitavas!$C$2:$AQ$60,22,FALSE)</f>
        <v>1</v>
      </c>
      <c r="X3" s="50" t="s">
        <v>98</v>
      </c>
      <c r="Y3" s="49">
        <f>VLOOKUP($B3,Form_Oitavas!$C$2:$AQ$60,23,FALSE)</f>
        <v>2</v>
      </c>
      <c r="Z3" s="47" t="str">
        <f t="shared" ref="Z3:Z23" si="5">IF(W3&gt;Y3,"casa",IF(W3=Y3,"empate","visita"))</f>
        <v>visita</v>
      </c>
      <c r="AA3" s="48">
        <f>IF(W3=OITAVAS!W$24,IF(OITAVAS!Y$24=Y3,Pesos!$N$6,IF(Z3=OITAVAS!Z$24,Pesos!$N$3,0)),IF(Z3=OITAVAS!Z$24,Pesos!$N$3,0))*IF(COUNTIF(Z$3:Z$23,Z3)=1,2,1)</f>
        <v>0</v>
      </c>
      <c r="AB3" s="49">
        <f>VLOOKUP($B3,Form_Oitavas!$C$2:$AQ$60,27,FALSE)</f>
        <v>0</v>
      </c>
      <c r="AC3" s="50" t="s">
        <v>98</v>
      </c>
      <c r="AD3" s="49">
        <f>VLOOKUP($B3,Form_Oitavas!$C$2:$AQ$60,28,FALSE)</f>
        <v>0</v>
      </c>
      <c r="AE3" s="47" t="str">
        <f t="shared" ref="AE3:AE23" si="6">IF(AB3&gt;AD3,"casa",IF(AB3=AD3,"empate","visita"))</f>
        <v>empate</v>
      </c>
      <c r="AF3" s="48">
        <f>IF(AB3=OITAVAS!AB$24,IF(OITAVAS!AD$24=AD3,Pesos!$N$6,IF(AE3=OITAVAS!AE$24,Pesos!$N$3,0)),IF(AE3=OITAVAS!AE$24,Pesos!$N$3,0))*IF(COUNTIF(AE$3:AE$23,AE3)=1,2,1)</f>
        <v>0</v>
      </c>
      <c r="AG3" s="49">
        <f>VLOOKUP($B3,Form_Oitavas!$C$2:$AQ$60,32,FALSE)</f>
        <v>1</v>
      </c>
      <c r="AH3" s="50" t="s">
        <v>98</v>
      </c>
      <c r="AI3" s="49">
        <f>VLOOKUP($B3,Form_Oitavas!$C$2:$AQ$60,33,FALSE)</f>
        <v>0</v>
      </c>
      <c r="AJ3" s="47" t="str">
        <f t="shared" ref="AJ3:AJ23" si="7">IF(AG3&gt;AI3,"casa",IF(AG3=AI3,"empate","visita"))</f>
        <v>casa</v>
      </c>
      <c r="AK3" s="48">
        <f>IF(AG3=OITAVAS!AG$24,IF(OITAVAS!AI$24=AI3,Pesos!$N$6,IF(AJ3=OITAVAS!AJ$24,Pesos!$N$3,0)),IF(AJ3=OITAVAS!AJ$24,Pesos!$N$3,0))*IF(COUNTIF(AJ$3:AJ$23,AJ3)=1,2,1)</f>
        <v>1</v>
      </c>
      <c r="AL3" s="46">
        <f>VLOOKUP($B3,Form_Oitavas!$C$2:$AQ$60,37,FALSE)</f>
        <v>2</v>
      </c>
      <c r="AM3" s="9" t="s">
        <v>98</v>
      </c>
      <c r="AN3" s="46">
        <f>VLOOKUP($B3,Form_Oitavas!$C$2:$AQ$60,38,FALSE)</f>
        <v>2</v>
      </c>
      <c r="AO3" s="47" t="str">
        <f t="shared" ref="AO3:AO23" si="8">IF(AL3&gt;AN3,"casa",IF(AL3=AN3,"empate","visita"))</f>
        <v>empate</v>
      </c>
      <c r="AP3" s="48">
        <f>IF(AL3=OITAVAS!AL$24,IF(OITAVAS!AN$24=AN3,Pesos!$N$6,IF(AO3=OITAVAS!AO$24,Pesos!$N$3,0)),IF(AO3=OITAVAS!AO$24,Pesos!$N$3,0))*IF(COUNTIF(AO$3:AO$23,AO3)=1,2,1)</f>
        <v>1</v>
      </c>
      <c r="AQ3" s="41"/>
      <c r="AR3" s="41">
        <f t="shared" ref="AR3:AR23" si="9">IF(L3=0,0,1)+IF(Q3=0,0,1)+IF(V3=0,0,1)+IF(AA3=0,0,1)+IF(AF3=0,0,1)+IF(AK3=0,0,1)+IF(AP3=0,0,1)+IF(G3=0,0,1)</f>
        <v>4</v>
      </c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</row>
    <row r="4" ht="14.25" customHeight="1">
      <c r="A4" s="40"/>
      <c r="B4" s="51" t="s">
        <v>10</v>
      </c>
      <c r="C4" s="46">
        <f>VLOOKUP($B4,Form_Oitavas!$C$2:$AQ$60,2,FALSE)</f>
        <v>2</v>
      </c>
      <c r="D4" s="48" t="s">
        <v>98</v>
      </c>
      <c r="E4" s="46">
        <f>VLOOKUP($B4,Form_Oitavas!$C$2:$AQ$60,3,FALSE)</f>
        <v>1</v>
      </c>
      <c r="F4" s="47" t="str">
        <f t="shared" si="1"/>
        <v>casa</v>
      </c>
      <c r="G4" s="48">
        <f>IF(C4=OITAVAS!C$24,IF(OITAVAS!E$24=E4,Pesos!$N$6,IF(F4=OITAVAS!F$24,Pesos!$N$3,0)),IF(F4=OITAVAS!F$24,Pesos!$N$3,0))*IF(COUNTIF(F$3:F$23,F4)=1,2,1)</f>
        <v>1</v>
      </c>
      <c r="H4" s="46">
        <f>VLOOKUP($B4,Form_Oitavas!$C$2:$AQ$60,7,FALSE)</f>
        <v>1</v>
      </c>
      <c r="I4" s="48" t="s">
        <v>98</v>
      </c>
      <c r="J4" s="46">
        <f>VLOOKUP($B4,Form_Oitavas!$C$2:$AQ$60,8,FALSE)</f>
        <v>0</v>
      </c>
      <c r="K4" s="47" t="str">
        <f t="shared" si="2"/>
        <v>casa</v>
      </c>
      <c r="L4" s="48">
        <f>IF(H4=OITAVAS!H$24,IF(OITAVAS!J$24=J4,Pesos!$N$6,IF(K4=OITAVAS!K$24,Pesos!$N$3,0)),IF(K4=OITAVAS!K$24,Pesos!$N$3,0))*IF(COUNTIF(K$3:K$23,K4)=1,2,1)</f>
        <v>6</v>
      </c>
      <c r="M4" s="46">
        <f>VLOOKUP($B4,Form_Oitavas!$C$2:$AQ$60,12,FALSE)</f>
        <v>1</v>
      </c>
      <c r="N4" s="48" t="s">
        <v>98</v>
      </c>
      <c r="O4" s="46">
        <f>VLOOKUP($B4,Form_Oitavas!$C$2:$AQ$60,13,FALSE)</f>
        <v>1</v>
      </c>
      <c r="P4" s="47" t="str">
        <f t="shared" si="3"/>
        <v>empate</v>
      </c>
      <c r="Q4" s="48">
        <f>IF(M4=OITAVAS!M$24,IF(OITAVAS!O$24=O4,Pesos!$N$6,IF(P4=OITAVAS!P$24,Pesos!$N$3,0)),IF(P4=OITAVAS!P$24,Pesos!$N$3,0))*IF(COUNTIF(P$3:P$23,P4)=1,2,1)</f>
        <v>0</v>
      </c>
      <c r="R4" s="46">
        <f>VLOOKUP($B4,Form_Oitavas!$C$2:$AQ$60,17,FALSE)</f>
        <v>1</v>
      </c>
      <c r="S4" s="48" t="s">
        <v>98</v>
      </c>
      <c r="T4" s="46">
        <f>VLOOKUP($B4,Form_Oitavas!$C$2:$AQ$60,18,FALSE)</f>
        <v>2</v>
      </c>
      <c r="U4" s="47" t="str">
        <f t="shared" si="4"/>
        <v>visita</v>
      </c>
      <c r="V4" s="48">
        <f>IF(R4=OITAVAS!R$24,IF(OITAVAS!T$24=T4,Pesos!$N$6,IF(U4=OITAVAS!U$24,Pesos!$N$3,0)),IF(U4=OITAVAS!U$24,Pesos!$N$3,0))*IF(COUNTIF(U$3:U$23,U4)=1,2,1)</f>
        <v>1</v>
      </c>
      <c r="W4" s="46">
        <f>VLOOKUP($B4,Form_Oitavas!$C$2:$AQ$60,22,FALSE)</f>
        <v>1</v>
      </c>
      <c r="X4" s="48" t="s">
        <v>98</v>
      </c>
      <c r="Y4" s="46">
        <f>VLOOKUP($B4,Form_Oitavas!$C$2:$AQ$60,23,FALSE)</f>
        <v>2</v>
      </c>
      <c r="Z4" s="47" t="str">
        <f t="shared" si="5"/>
        <v>visita</v>
      </c>
      <c r="AA4" s="48">
        <f>IF(W4=OITAVAS!W$24,IF(OITAVAS!Y$24=Y4,Pesos!$N$6,IF(Z4=OITAVAS!Z$24,Pesos!$N$3,0)),IF(Z4=OITAVAS!Z$24,Pesos!$N$3,0))*IF(COUNTIF(Z$3:Z$23,Z4)=1,2,1)</f>
        <v>0</v>
      </c>
      <c r="AB4" s="46">
        <f>VLOOKUP($B4,Form_Oitavas!$C$2:$AQ$60,27,FALSE)</f>
        <v>2</v>
      </c>
      <c r="AC4" s="48" t="s">
        <v>98</v>
      </c>
      <c r="AD4" s="46">
        <f>VLOOKUP($B4,Form_Oitavas!$C$2:$AQ$60,28,FALSE)</f>
        <v>0</v>
      </c>
      <c r="AE4" s="47" t="str">
        <f t="shared" si="6"/>
        <v>casa</v>
      </c>
      <c r="AF4" s="48">
        <f>IF(AB4=OITAVAS!AB$24,IF(OITAVAS!AD$24=AD4,Pesos!$N$6,IF(AE4=OITAVAS!AE$24,Pesos!$N$3,0)),IF(AE4=OITAVAS!AE$24,Pesos!$N$3,0))*IF(COUNTIF(AE$3:AE$23,AE4)=1,2,1)</f>
        <v>1</v>
      </c>
      <c r="AG4" s="46">
        <f>VLOOKUP($B4,Form_Oitavas!$C$2:$AQ$60,32,FALSE)</f>
        <v>2</v>
      </c>
      <c r="AH4" s="48" t="s">
        <v>98</v>
      </c>
      <c r="AI4" s="46">
        <f>VLOOKUP($B4,Form_Oitavas!$C$2:$AQ$60,33,FALSE)</f>
        <v>0</v>
      </c>
      <c r="AJ4" s="47" t="str">
        <f t="shared" si="7"/>
        <v>casa</v>
      </c>
      <c r="AK4" s="48">
        <f>IF(AG4=OITAVAS!AG$24,IF(OITAVAS!AI$24=AI4,Pesos!$N$6,IF(AJ4=OITAVAS!AJ$24,Pesos!$N$3,0)),IF(AJ4=OITAVAS!AJ$24,Pesos!$N$3,0))*IF(COUNTIF(AJ$3:AJ$23,AJ4)=1,2,1)</f>
        <v>1</v>
      </c>
      <c r="AL4" s="46">
        <f>VLOOKUP($B4,Form_Oitavas!$C$2:$AQ$60,37,FALSE)</f>
        <v>1</v>
      </c>
      <c r="AM4" s="48" t="s">
        <v>98</v>
      </c>
      <c r="AN4" s="46">
        <f>VLOOKUP($B4,Form_Oitavas!$C$2:$AQ$60,38,FALSE)</f>
        <v>0</v>
      </c>
      <c r="AO4" s="47" t="str">
        <f t="shared" si="8"/>
        <v>casa</v>
      </c>
      <c r="AP4" s="48">
        <f>IF(AL4=OITAVAS!AL$24,IF(OITAVAS!AN$24=AN4,Pesos!$N$6,IF(AO4=OITAVAS!AO$24,Pesos!$N$3,0)),IF(AO4=OITAVAS!AO$24,Pesos!$N$3,0))*IF(COUNTIF(AO$3:AO$23,AO4)=1,2,1)</f>
        <v>0</v>
      </c>
      <c r="AQ4" s="41"/>
      <c r="AR4" s="41">
        <f t="shared" si="9"/>
        <v>5</v>
      </c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</row>
    <row r="5" ht="14.25" customHeight="1">
      <c r="A5" s="40"/>
      <c r="B5" s="51" t="s">
        <v>17</v>
      </c>
      <c r="C5" s="46">
        <f>VLOOKUP($B5,Form_Oitavas!$C$2:$AQ$60,2,FALSE)</f>
        <v>3</v>
      </c>
      <c r="D5" s="9" t="s">
        <v>98</v>
      </c>
      <c r="E5" s="46">
        <f>VLOOKUP($B5,Form_Oitavas!$C$2:$AQ$60,3,FALSE)</f>
        <v>0</v>
      </c>
      <c r="F5" s="47" t="str">
        <f t="shared" si="1"/>
        <v>casa</v>
      </c>
      <c r="G5" s="48">
        <f>IF(C5=OITAVAS!C$24,IF(OITAVAS!E$24=E5,Pesos!$N$6,IF(F5=OITAVAS!F$24,Pesos!$N$3,0)),IF(F5=OITAVAS!F$24,Pesos!$N$3,0))*IF(COUNTIF(F$3:F$23,F5)=1,2,1)</f>
        <v>1</v>
      </c>
      <c r="H5" s="46">
        <f>VLOOKUP($B5,Form_Oitavas!$C$2:$AQ$60,7,FALSE)</f>
        <v>1</v>
      </c>
      <c r="I5" s="9" t="s">
        <v>98</v>
      </c>
      <c r="J5" s="46">
        <f>VLOOKUP($B5,Form_Oitavas!$C$2:$AQ$60,8,FALSE)</f>
        <v>2</v>
      </c>
      <c r="K5" s="47" t="str">
        <f t="shared" si="2"/>
        <v>visita</v>
      </c>
      <c r="L5" s="48">
        <f>IF(H5=OITAVAS!H$24,IF(OITAVAS!J$24=J5,Pesos!$N$6,IF(K5=OITAVAS!K$24,Pesos!$N$3,0)),IF(K5=OITAVAS!K$24,Pesos!$N$3,0))*IF(COUNTIF(K$3:K$23,K5)=1,2,1)</f>
        <v>0</v>
      </c>
      <c r="M5" s="46">
        <f>VLOOKUP($B5,Form_Oitavas!$C$2:$AQ$60,12,FALSE)</f>
        <v>1</v>
      </c>
      <c r="N5" s="9" t="s">
        <v>98</v>
      </c>
      <c r="O5" s="46">
        <f>VLOOKUP($B5,Form_Oitavas!$C$2:$AQ$60,13,FALSE)</f>
        <v>1</v>
      </c>
      <c r="P5" s="47" t="str">
        <f t="shared" si="3"/>
        <v>empate</v>
      </c>
      <c r="Q5" s="48">
        <f>IF(M5=OITAVAS!M$24,IF(OITAVAS!O$24=O5,Pesos!$N$6,IF(P5=OITAVAS!P$24,Pesos!$N$3,0)),IF(P5=OITAVAS!P$24,Pesos!$N$3,0))*IF(COUNTIF(P$3:P$23,P5)=1,2,1)</f>
        <v>0</v>
      </c>
      <c r="R5" s="46">
        <f>VLOOKUP($B5,Form_Oitavas!$C$2:$AQ$60,17,FALSE)</f>
        <v>1</v>
      </c>
      <c r="S5" s="9" t="s">
        <v>98</v>
      </c>
      <c r="T5" s="46">
        <f>VLOOKUP($B5,Form_Oitavas!$C$2:$AQ$60,18,FALSE)</f>
        <v>2</v>
      </c>
      <c r="U5" s="47" t="str">
        <f t="shared" si="4"/>
        <v>visita</v>
      </c>
      <c r="V5" s="48">
        <f>IF(R5=OITAVAS!R$24,IF(OITAVAS!T$24=T5,Pesos!$N$6,IF(U5=OITAVAS!U$24,Pesos!$N$3,0)),IF(U5=OITAVAS!U$24,Pesos!$N$3,0))*IF(COUNTIF(U$3:U$23,U5)=1,2,1)</f>
        <v>1</v>
      </c>
      <c r="W5" s="46">
        <f>VLOOKUP($B5,Form_Oitavas!$C$2:$AQ$60,22,FALSE)</f>
        <v>2</v>
      </c>
      <c r="X5" s="9" t="s">
        <v>98</v>
      </c>
      <c r="Y5" s="46">
        <f>VLOOKUP($B5,Form_Oitavas!$C$2:$AQ$60,23,FALSE)</f>
        <v>0</v>
      </c>
      <c r="Z5" s="47" t="str">
        <f t="shared" si="5"/>
        <v>casa</v>
      </c>
      <c r="AA5" s="48">
        <f>IF(W5=OITAVAS!W$24,IF(OITAVAS!Y$24=Y5,Pesos!$N$6,IF(Z5=OITAVAS!Z$24,Pesos!$N$3,0)),IF(Z5=OITAVAS!Z$24,Pesos!$N$3,0))*IF(COUNTIF(Z$3:Z$23,Z5)=1,2,1)</f>
        <v>0</v>
      </c>
      <c r="AB5" s="46">
        <f>VLOOKUP($B5,Form_Oitavas!$C$2:$AQ$60,27,FALSE)</f>
        <v>2</v>
      </c>
      <c r="AC5" s="9" t="s">
        <v>98</v>
      </c>
      <c r="AD5" s="46">
        <f>VLOOKUP($B5,Form_Oitavas!$C$2:$AQ$60,28,FALSE)</f>
        <v>1</v>
      </c>
      <c r="AE5" s="47" t="str">
        <f t="shared" si="6"/>
        <v>casa</v>
      </c>
      <c r="AF5" s="48">
        <f>IF(AB5=OITAVAS!AB$24,IF(OITAVAS!AD$24=AD5,Pesos!$N$6,IF(AE5=OITAVAS!AE$24,Pesos!$N$3,0)),IF(AE5=OITAVAS!AE$24,Pesos!$N$3,0))*IF(COUNTIF(AE$3:AE$23,AE5)=1,2,1)</f>
        <v>1</v>
      </c>
      <c r="AG5" s="46">
        <f>VLOOKUP($B5,Form_Oitavas!$C$2:$AQ$60,32,FALSE)</f>
        <v>2</v>
      </c>
      <c r="AH5" s="9" t="s">
        <v>98</v>
      </c>
      <c r="AI5" s="46">
        <f>VLOOKUP($B5,Form_Oitavas!$C$2:$AQ$60,33,FALSE)</f>
        <v>0</v>
      </c>
      <c r="AJ5" s="47" t="str">
        <f t="shared" si="7"/>
        <v>casa</v>
      </c>
      <c r="AK5" s="48">
        <f>IF(AG5=OITAVAS!AG$24,IF(OITAVAS!AI$24=AI5,Pesos!$N$6,IF(AJ5=OITAVAS!AJ$24,Pesos!$N$3,0)),IF(AJ5=OITAVAS!AJ$24,Pesos!$N$3,0))*IF(COUNTIF(AJ$3:AJ$23,AJ5)=1,2,1)</f>
        <v>1</v>
      </c>
      <c r="AL5" s="46">
        <f>VLOOKUP($B5,Form_Oitavas!$C$2:$AQ$60,37,FALSE)</f>
        <v>2</v>
      </c>
      <c r="AM5" s="9" t="s">
        <v>98</v>
      </c>
      <c r="AN5" s="46">
        <f>VLOOKUP($B5,Form_Oitavas!$C$2:$AQ$60,38,FALSE)</f>
        <v>3</v>
      </c>
      <c r="AO5" s="47" t="str">
        <f t="shared" si="8"/>
        <v>visita</v>
      </c>
      <c r="AP5" s="48">
        <f>IF(AL5=OITAVAS!AL$24,IF(OITAVAS!AN$24=AN5,Pesos!$N$6,IF(AO5=OITAVAS!AO$24,Pesos!$N$3,0)),IF(AO5=OITAVAS!AO$24,Pesos!$N$3,0))*IF(COUNTIF(AO$3:AO$23,AO5)=1,2,1)</f>
        <v>0</v>
      </c>
      <c r="AQ5" s="41"/>
      <c r="AR5" s="41">
        <f t="shared" si="9"/>
        <v>4</v>
      </c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</row>
    <row r="6" ht="14.25" customHeight="1">
      <c r="A6" s="40"/>
      <c r="B6" s="51" t="s">
        <v>3</v>
      </c>
      <c r="C6" s="46">
        <f>VLOOKUP($B6,Form_Oitavas!$C$2:$AQ$60,2,FALSE)</f>
        <v>2</v>
      </c>
      <c r="D6" s="9" t="s">
        <v>98</v>
      </c>
      <c r="E6" s="46">
        <f>VLOOKUP($B6,Form_Oitavas!$C$2:$AQ$60,3,FALSE)</f>
        <v>3</v>
      </c>
      <c r="F6" s="47" t="str">
        <f t="shared" si="1"/>
        <v>visita</v>
      </c>
      <c r="G6" s="48">
        <f>IF(C6=OITAVAS!C$24,IF(OITAVAS!E$24=E6,Pesos!$N$6,IF(F6=OITAVAS!F$24,Pesos!$N$3,0)),IF(F6=OITAVAS!F$24,Pesos!$N$3,0))*IF(COUNTIF(F$3:F$23,F6)=1,2,1)</f>
        <v>0</v>
      </c>
      <c r="H6" s="46">
        <f>VLOOKUP($B6,Form_Oitavas!$C$2:$AQ$60,7,FALSE)</f>
        <v>1</v>
      </c>
      <c r="I6" s="9" t="s">
        <v>98</v>
      </c>
      <c r="J6" s="46">
        <f>VLOOKUP($B6,Form_Oitavas!$C$2:$AQ$60,8,FALSE)</f>
        <v>3</v>
      </c>
      <c r="K6" s="47" t="str">
        <f t="shared" si="2"/>
        <v>visita</v>
      </c>
      <c r="L6" s="48">
        <f>IF(H6=OITAVAS!H$24,IF(OITAVAS!J$24=J6,Pesos!$N$6,IF(K6=OITAVAS!K$24,Pesos!$N$3,0)),IF(K6=OITAVAS!K$24,Pesos!$N$3,0))*IF(COUNTIF(K$3:K$23,K6)=1,2,1)</f>
        <v>0</v>
      </c>
      <c r="M6" s="46">
        <f>VLOOKUP($B6,Form_Oitavas!$C$2:$AQ$60,12,FALSE)</f>
        <v>3</v>
      </c>
      <c r="N6" s="9" t="s">
        <v>98</v>
      </c>
      <c r="O6" s="46">
        <f>VLOOKUP($B6,Form_Oitavas!$C$2:$AQ$60,13,FALSE)</f>
        <v>1</v>
      </c>
      <c r="P6" s="47" t="str">
        <f t="shared" si="3"/>
        <v>casa</v>
      </c>
      <c r="Q6" s="48">
        <f>IF(M6=OITAVAS!M$24,IF(OITAVAS!O$24=O6,Pesos!$N$6,IF(P6=OITAVAS!P$24,Pesos!$N$3,0)),IF(P6=OITAVAS!P$24,Pesos!$N$3,0))*IF(COUNTIF(P$3:P$23,P6)=1,2,1)</f>
        <v>1</v>
      </c>
      <c r="R6" s="46">
        <f>VLOOKUP($B6,Form_Oitavas!$C$2:$AQ$60,17,FALSE)</f>
        <v>1</v>
      </c>
      <c r="S6" s="9" t="s">
        <v>98</v>
      </c>
      <c r="T6" s="46">
        <f>VLOOKUP($B6,Form_Oitavas!$C$2:$AQ$60,18,FALSE)</f>
        <v>0</v>
      </c>
      <c r="U6" s="47" t="str">
        <f t="shared" si="4"/>
        <v>casa</v>
      </c>
      <c r="V6" s="48">
        <f>IF(R6=OITAVAS!R$24,IF(OITAVAS!T$24=T6,Pesos!$N$6,IF(U6=OITAVAS!U$24,Pesos!$N$3,0)),IF(U6=OITAVAS!U$24,Pesos!$N$3,0))*IF(COUNTIF(U$3:U$23,U6)=1,2,1)</f>
        <v>0</v>
      </c>
      <c r="W6" s="46">
        <f>VLOOKUP($B6,Form_Oitavas!$C$2:$AQ$60,22,FALSE)</f>
        <v>0</v>
      </c>
      <c r="X6" s="9" t="s">
        <v>98</v>
      </c>
      <c r="Y6" s="46">
        <f>VLOOKUP($B6,Form_Oitavas!$C$2:$AQ$60,23,FALSE)</f>
        <v>1</v>
      </c>
      <c r="Z6" s="47" t="str">
        <f t="shared" si="5"/>
        <v>visita</v>
      </c>
      <c r="AA6" s="48">
        <f>IF(W6=OITAVAS!W$24,IF(OITAVAS!Y$24=Y6,Pesos!$N$6,IF(Z6=OITAVAS!Z$24,Pesos!$N$3,0)),IF(Z6=OITAVAS!Z$24,Pesos!$N$3,0))*IF(COUNTIF(Z$3:Z$23,Z6)=1,2,1)</f>
        <v>0</v>
      </c>
      <c r="AB6" s="46">
        <f>VLOOKUP($B6,Form_Oitavas!$C$2:$AQ$60,27,FALSE)</f>
        <v>2</v>
      </c>
      <c r="AC6" s="9" t="s">
        <v>98</v>
      </c>
      <c r="AD6" s="46">
        <f>VLOOKUP($B6,Form_Oitavas!$C$2:$AQ$60,28,FALSE)</f>
        <v>0</v>
      </c>
      <c r="AE6" s="47" t="str">
        <f t="shared" si="6"/>
        <v>casa</v>
      </c>
      <c r="AF6" s="48">
        <f>IF(AB6=OITAVAS!AB$24,IF(OITAVAS!AD$24=AD6,Pesos!$N$6,IF(AE6=OITAVAS!AE$24,Pesos!$N$3,0)),IF(AE6=OITAVAS!AE$24,Pesos!$N$3,0))*IF(COUNTIF(AE$3:AE$23,AE6)=1,2,1)</f>
        <v>1</v>
      </c>
      <c r="AG6" s="46">
        <f>VLOOKUP($B6,Form_Oitavas!$C$2:$AQ$60,32,FALSE)</f>
        <v>2</v>
      </c>
      <c r="AH6" s="9" t="s">
        <v>98</v>
      </c>
      <c r="AI6" s="46">
        <f>VLOOKUP($B6,Form_Oitavas!$C$2:$AQ$60,33,FALSE)</f>
        <v>0</v>
      </c>
      <c r="AJ6" s="47" t="str">
        <f t="shared" si="7"/>
        <v>casa</v>
      </c>
      <c r="AK6" s="48">
        <f>IF(AG6=OITAVAS!AG$24,IF(OITAVAS!AI$24=AI6,Pesos!$N$6,IF(AJ6=OITAVAS!AJ$24,Pesos!$N$3,0)),IF(AJ6=OITAVAS!AJ$24,Pesos!$N$3,0))*IF(COUNTIF(AJ$3:AJ$23,AJ6)=1,2,1)</f>
        <v>1</v>
      </c>
      <c r="AL6" s="46">
        <f>VLOOKUP($B6,Form_Oitavas!$C$2:$AQ$60,37,FALSE)</f>
        <v>0</v>
      </c>
      <c r="AM6" s="9" t="s">
        <v>98</v>
      </c>
      <c r="AN6" s="46">
        <f>VLOOKUP($B6,Form_Oitavas!$C$2:$AQ$60,38,FALSE)</f>
        <v>1</v>
      </c>
      <c r="AO6" s="47" t="str">
        <f t="shared" si="8"/>
        <v>visita</v>
      </c>
      <c r="AP6" s="48">
        <f>IF(AL6=OITAVAS!AL$24,IF(OITAVAS!AN$24=AN6,Pesos!$N$6,IF(AO6=OITAVAS!AO$24,Pesos!$N$3,0)),IF(AO6=OITAVAS!AO$24,Pesos!$N$3,0))*IF(COUNTIF(AO$3:AO$23,AO6)=1,2,1)</f>
        <v>0</v>
      </c>
      <c r="AQ6" s="41"/>
      <c r="AR6" s="41">
        <f t="shared" si="9"/>
        <v>3</v>
      </c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</row>
    <row r="7" ht="14.25" customHeight="1">
      <c r="A7" s="40"/>
      <c r="B7" s="51" t="s">
        <v>13</v>
      </c>
      <c r="C7" s="46">
        <f>VLOOKUP($B7,Form_Oitavas!$C$2:$AQ$60,2,FALSE)</f>
        <v>1</v>
      </c>
      <c r="D7" s="9" t="s">
        <v>98</v>
      </c>
      <c r="E7" s="46">
        <f>VLOOKUP($B7,Form_Oitavas!$C$2:$AQ$60,3,FALSE)</f>
        <v>0</v>
      </c>
      <c r="F7" s="47" t="str">
        <f t="shared" si="1"/>
        <v>casa</v>
      </c>
      <c r="G7" s="48">
        <f>IF(C7=OITAVAS!C$24,IF(OITAVAS!E$24=E7,Pesos!$N$6,IF(F7=OITAVAS!F$24,Pesos!$N$3,0)),IF(F7=OITAVAS!F$24,Pesos!$N$3,0))*IF(COUNTIF(F$3:F$23,F7)=1,2,1)</f>
        <v>1</v>
      </c>
      <c r="H7" s="46">
        <f>VLOOKUP($B7,Form_Oitavas!$C$2:$AQ$60,7,FALSE)</f>
        <v>0</v>
      </c>
      <c r="I7" s="9" t="s">
        <v>98</v>
      </c>
      <c r="J7" s="46">
        <f>VLOOKUP($B7,Form_Oitavas!$C$2:$AQ$60,8,FALSE)</f>
        <v>1</v>
      </c>
      <c r="K7" s="47" t="str">
        <f t="shared" si="2"/>
        <v>visita</v>
      </c>
      <c r="L7" s="48">
        <f>IF(H7=OITAVAS!H$24,IF(OITAVAS!J$24=J7,Pesos!$N$6,IF(K7=OITAVAS!K$24,Pesos!$N$3,0)),IF(K7=OITAVAS!K$24,Pesos!$N$3,0))*IF(COUNTIF(K$3:K$23,K7)=1,2,1)</f>
        <v>0</v>
      </c>
      <c r="M7" s="46">
        <f>VLOOKUP($B7,Form_Oitavas!$C$2:$AQ$60,12,FALSE)</f>
        <v>1</v>
      </c>
      <c r="N7" s="9" t="s">
        <v>98</v>
      </c>
      <c r="O7" s="46">
        <f>VLOOKUP($B7,Form_Oitavas!$C$2:$AQ$60,13,FALSE)</f>
        <v>1</v>
      </c>
      <c r="P7" s="47" t="str">
        <f t="shared" si="3"/>
        <v>empate</v>
      </c>
      <c r="Q7" s="48">
        <f>IF(M7=OITAVAS!M$24,IF(OITAVAS!O$24=O7,Pesos!$N$6,IF(P7=OITAVAS!P$24,Pesos!$N$3,0)),IF(P7=OITAVAS!P$24,Pesos!$N$3,0))*IF(COUNTIF(P$3:P$23,P7)=1,2,1)</f>
        <v>0</v>
      </c>
      <c r="R7" s="46">
        <f>VLOOKUP($B7,Form_Oitavas!$C$2:$AQ$60,17,FALSE)</f>
        <v>0</v>
      </c>
      <c r="S7" s="9" t="s">
        <v>98</v>
      </c>
      <c r="T7" s="46">
        <f>VLOOKUP($B7,Form_Oitavas!$C$2:$AQ$60,18,FALSE)</f>
        <v>2</v>
      </c>
      <c r="U7" s="47" t="str">
        <f t="shared" si="4"/>
        <v>visita</v>
      </c>
      <c r="V7" s="48">
        <f>IF(R7=OITAVAS!R$24,IF(OITAVAS!T$24=T7,Pesos!$N$6,IF(U7=OITAVAS!U$24,Pesos!$N$3,0)),IF(U7=OITAVAS!U$24,Pesos!$N$3,0))*IF(COUNTIF(U$3:U$23,U7)=1,2,1)</f>
        <v>1</v>
      </c>
      <c r="W7" s="46">
        <f>VLOOKUP($B7,Form_Oitavas!$C$2:$AQ$60,22,FALSE)</f>
        <v>0</v>
      </c>
      <c r="X7" s="9" t="s">
        <v>98</v>
      </c>
      <c r="Y7" s="46">
        <f>VLOOKUP($B7,Form_Oitavas!$C$2:$AQ$60,23,FALSE)</f>
        <v>1</v>
      </c>
      <c r="Z7" s="47" t="str">
        <f t="shared" si="5"/>
        <v>visita</v>
      </c>
      <c r="AA7" s="48">
        <f>IF(W7=OITAVAS!W$24,IF(OITAVAS!Y$24=Y7,Pesos!$N$6,IF(Z7=OITAVAS!Z$24,Pesos!$N$3,0)),IF(Z7=OITAVAS!Z$24,Pesos!$N$3,0))*IF(COUNTIF(Z$3:Z$23,Z7)=1,2,1)</f>
        <v>0</v>
      </c>
      <c r="AB7" s="46">
        <f>VLOOKUP($B7,Form_Oitavas!$C$2:$AQ$60,27,FALSE)</f>
        <v>2</v>
      </c>
      <c r="AC7" s="9" t="s">
        <v>98</v>
      </c>
      <c r="AD7" s="46">
        <f>VLOOKUP($B7,Form_Oitavas!$C$2:$AQ$60,28,FALSE)</f>
        <v>0</v>
      </c>
      <c r="AE7" s="47" t="str">
        <f t="shared" si="6"/>
        <v>casa</v>
      </c>
      <c r="AF7" s="48">
        <f>IF(AB7=OITAVAS!AB$24,IF(OITAVAS!AD$24=AD7,Pesos!$N$6,IF(AE7=OITAVAS!AE$24,Pesos!$N$3,0)),IF(AE7=OITAVAS!AE$24,Pesos!$N$3,0))*IF(COUNTIF(AE$3:AE$23,AE7)=1,2,1)</f>
        <v>1</v>
      </c>
      <c r="AG7" s="46">
        <f>VLOOKUP($B7,Form_Oitavas!$C$2:$AQ$60,32,FALSE)</f>
        <v>1</v>
      </c>
      <c r="AH7" s="9" t="s">
        <v>98</v>
      </c>
      <c r="AI7" s="46">
        <f>VLOOKUP($B7,Form_Oitavas!$C$2:$AQ$60,33,FALSE)</f>
        <v>0</v>
      </c>
      <c r="AJ7" s="47" t="str">
        <f t="shared" si="7"/>
        <v>casa</v>
      </c>
      <c r="AK7" s="48">
        <f>IF(AG7=OITAVAS!AG$24,IF(OITAVAS!AI$24=AI7,Pesos!$N$6,IF(AJ7=OITAVAS!AJ$24,Pesos!$N$3,0)),IF(AJ7=OITAVAS!AJ$24,Pesos!$N$3,0))*IF(COUNTIF(AJ$3:AJ$23,AJ7)=1,2,1)</f>
        <v>1</v>
      </c>
      <c r="AL7" s="46">
        <f>VLOOKUP($B7,Form_Oitavas!$C$2:$AQ$60,37,FALSE)</f>
        <v>1</v>
      </c>
      <c r="AM7" s="9" t="s">
        <v>98</v>
      </c>
      <c r="AN7" s="46">
        <f>VLOOKUP($B7,Form_Oitavas!$C$2:$AQ$60,38,FALSE)</f>
        <v>2</v>
      </c>
      <c r="AO7" s="47" t="str">
        <f t="shared" si="8"/>
        <v>visita</v>
      </c>
      <c r="AP7" s="48">
        <f>IF(AL7=OITAVAS!AL$24,IF(OITAVAS!AN$24=AN7,Pesos!$N$6,IF(AO7=OITAVAS!AO$24,Pesos!$N$3,0)),IF(AO7=OITAVAS!AO$24,Pesos!$N$3,0))*IF(COUNTIF(AO$3:AO$23,AO7)=1,2,1)</f>
        <v>0</v>
      </c>
      <c r="AQ7" s="41"/>
      <c r="AR7" s="41">
        <f t="shared" si="9"/>
        <v>4</v>
      </c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</row>
    <row r="8" ht="14.25" customHeight="1">
      <c r="A8" s="40"/>
      <c r="B8" s="51" t="s">
        <v>14</v>
      </c>
      <c r="C8" s="46">
        <f>VLOOKUP($B8,Form_Oitavas!$C$2:$AQ$60,2,FALSE)</f>
        <v>1</v>
      </c>
      <c r="D8" s="9" t="s">
        <v>98</v>
      </c>
      <c r="E8" s="46">
        <f>VLOOKUP($B8,Form_Oitavas!$C$2:$AQ$60,3,FALSE)</f>
        <v>1</v>
      </c>
      <c r="F8" s="47" t="str">
        <f t="shared" si="1"/>
        <v>empate</v>
      </c>
      <c r="G8" s="48">
        <f>IF(C8=OITAVAS!C$24,IF(OITAVAS!E$24=E8,Pesos!$N$6,IF(F8=OITAVAS!F$24,Pesos!$N$3,0)),IF(F8=OITAVAS!F$24,Pesos!$N$3,0))*IF(COUNTIF(F$3:F$23,F8)=1,2,1)</f>
        <v>0</v>
      </c>
      <c r="H8" s="46">
        <f>VLOOKUP($B8,Form_Oitavas!$C$2:$AQ$60,7,FALSE)</f>
        <v>1</v>
      </c>
      <c r="I8" s="9" t="s">
        <v>98</v>
      </c>
      <c r="J8" s="46">
        <f>VLOOKUP($B8,Form_Oitavas!$C$2:$AQ$60,8,FALSE)</f>
        <v>0</v>
      </c>
      <c r="K8" s="47" t="str">
        <f t="shared" si="2"/>
        <v>casa</v>
      </c>
      <c r="L8" s="48">
        <f>IF(H8=OITAVAS!H$24,IF(OITAVAS!J$24=J8,Pesos!$N$6,IF(K8=OITAVAS!K$24,Pesos!$N$3,0)),IF(K8=OITAVAS!K$24,Pesos!$N$3,0))*IF(COUNTIF(K$3:K$23,K8)=1,2,1)</f>
        <v>6</v>
      </c>
      <c r="M8" s="46">
        <f>VLOOKUP($B8,Form_Oitavas!$C$2:$AQ$60,12,FALSE)</f>
        <v>0</v>
      </c>
      <c r="N8" s="9" t="s">
        <v>98</v>
      </c>
      <c r="O8" s="46">
        <f>VLOOKUP($B8,Form_Oitavas!$C$2:$AQ$60,13,FALSE)</f>
        <v>2</v>
      </c>
      <c r="P8" s="47" t="str">
        <f t="shared" si="3"/>
        <v>visita</v>
      </c>
      <c r="Q8" s="48">
        <f>IF(M8=OITAVAS!M$24,IF(OITAVAS!O$24=O8,Pesos!$N$6,IF(P8=OITAVAS!P$24,Pesos!$N$3,0)),IF(P8=OITAVAS!P$24,Pesos!$N$3,0))*IF(COUNTIF(P$3:P$23,P8)=1,2,1)</f>
        <v>0</v>
      </c>
      <c r="R8" s="46">
        <f>VLOOKUP($B8,Form_Oitavas!$C$2:$AQ$60,17,FALSE)</f>
        <v>0</v>
      </c>
      <c r="S8" s="9" t="s">
        <v>98</v>
      </c>
      <c r="T8" s="46">
        <f>VLOOKUP($B8,Form_Oitavas!$C$2:$AQ$60,18,FALSE)</f>
        <v>3</v>
      </c>
      <c r="U8" s="47" t="str">
        <f t="shared" si="4"/>
        <v>visita</v>
      </c>
      <c r="V8" s="48">
        <f>IF(R8=OITAVAS!R$24,IF(OITAVAS!T$24=T8,Pesos!$N$6,IF(U8=OITAVAS!U$24,Pesos!$N$3,0)),IF(U8=OITAVAS!U$24,Pesos!$N$3,0))*IF(COUNTIF(U$3:U$23,U8)=1,2,1)</f>
        <v>1</v>
      </c>
      <c r="W8" s="46">
        <f>VLOOKUP($B8,Form_Oitavas!$C$2:$AQ$60,22,FALSE)</f>
        <v>2</v>
      </c>
      <c r="X8" s="9" t="s">
        <v>98</v>
      </c>
      <c r="Y8" s="46">
        <f>VLOOKUP($B8,Form_Oitavas!$C$2:$AQ$60,23,FALSE)</f>
        <v>2</v>
      </c>
      <c r="Z8" s="47" t="str">
        <f t="shared" si="5"/>
        <v>empate</v>
      </c>
      <c r="AA8" s="48">
        <f>IF(W8=OITAVAS!W$24,IF(OITAVAS!Y$24=Y8,Pesos!$N$6,IF(Z8=OITAVAS!Z$24,Pesos!$N$3,0)),IF(Z8=OITAVAS!Z$24,Pesos!$N$3,0))*IF(COUNTIF(Z$3:Z$23,Z8)=1,2,1)</f>
        <v>1</v>
      </c>
      <c r="AB8" s="46">
        <f>VLOOKUP($B8,Form_Oitavas!$C$2:$AQ$60,27,FALSE)</f>
        <v>1</v>
      </c>
      <c r="AC8" s="9" t="s">
        <v>98</v>
      </c>
      <c r="AD8" s="46">
        <f>VLOOKUP($B8,Form_Oitavas!$C$2:$AQ$60,28,FALSE)</f>
        <v>0</v>
      </c>
      <c r="AE8" s="47" t="str">
        <f t="shared" si="6"/>
        <v>casa</v>
      </c>
      <c r="AF8" s="48">
        <f>IF(AB8=OITAVAS!AB$24,IF(OITAVAS!AD$24=AD8,Pesos!$N$6,IF(AE8=OITAVAS!AE$24,Pesos!$N$3,0)),IF(AE8=OITAVAS!AE$24,Pesos!$N$3,0))*IF(COUNTIF(AE$3:AE$23,AE8)=1,2,1)</f>
        <v>1</v>
      </c>
      <c r="AG8" s="46">
        <f>VLOOKUP($B8,Form_Oitavas!$C$2:$AQ$60,32,FALSE)</f>
        <v>1</v>
      </c>
      <c r="AH8" s="9" t="s">
        <v>98</v>
      </c>
      <c r="AI8" s="46">
        <f>VLOOKUP($B8,Form_Oitavas!$C$2:$AQ$60,33,FALSE)</f>
        <v>0</v>
      </c>
      <c r="AJ8" s="47" t="str">
        <f t="shared" si="7"/>
        <v>casa</v>
      </c>
      <c r="AK8" s="48">
        <f>IF(AG8=OITAVAS!AG$24,IF(OITAVAS!AI$24=AI8,Pesos!$N$6,IF(AJ8=OITAVAS!AJ$24,Pesos!$N$3,0)),IF(AJ8=OITAVAS!AJ$24,Pesos!$N$3,0))*IF(COUNTIF(AJ$3:AJ$23,AJ8)=1,2,1)</f>
        <v>1</v>
      </c>
      <c r="AL8" s="46">
        <f>VLOOKUP($B8,Form_Oitavas!$C$2:$AQ$60,37,FALSE)</f>
        <v>0</v>
      </c>
      <c r="AM8" s="9" t="s">
        <v>98</v>
      </c>
      <c r="AN8" s="46">
        <f>VLOOKUP($B8,Form_Oitavas!$C$2:$AQ$60,38,FALSE)</f>
        <v>0</v>
      </c>
      <c r="AO8" s="47" t="str">
        <f t="shared" si="8"/>
        <v>empate</v>
      </c>
      <c r="AP8" s="48">
        <f>IF(AL8=OITAVAS!AL$24,IF(OITAVAS!AN$24=AN8,Pesos!$N$6,IF(AO8=OITAVAS!AO$24,Pesos!$N$3,0)),IF(AO8=OITAVAS!AO$24,Pesos!$N$3,0))*IF(COUNTIF(AO$3:AO$23,AO8)=1,2,1)</f>
        <v>1</v>
      </c>
      <c r="AQ8" s="41"/>
      <c r="AR8" s="41">
        <f t="shared" si="9"/>
        <v>6</v>
      </c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</row>
    <row r="9" ht="14.25" customHeight="1">
      <c r="A9" s="40"/>
      <c r="B9" s="51" t="s">
        <v>6</v>
      </c>
      <c r="C9" s="46">
        <f>VLOOKUP($B9,Form_Oitavas!$C$2:$AQ$60,2,FALSE)</f>
        <v>2</v>
      </c>
      <c r="D9" s="48" t="s">
        <v>98</v>
      </c>
      <c r="E9" s="46">
        <f>VLOOKUP($B9,Form_Oitavas!$C$2:$AQ$60,3,FALSE)</f>
        <v>1</v>
      </c>
      <c r="F9" s="47" t="str">
        <f t="shared" si="1"/>
        <v>casa</v>
      </c>
      <c r="G9" s="48">
        <f>IF(C9=OITAVAS!C$24,IF(OITAVAS!E$24=E9,Pesos!$N$6,IF(F9=OITAVAS!F$24,Pesos!$N$3,0)),IF(F9=OITAVAS!F$24,Pesos!$N$3,0))*IF(COUNTIF(F$3:F$23,F9)=1,2,1)</f>
        <v>1</v>
      </c>
      <c r="H9" s="46">
        <f>VLOOKUP($B9,Form_Oitavas!$C$2:$AQ$60,7,FALSE)</f>
        <v>1</v>
      </c>
      <c r="I9" s="48" t="s">
        <v>98</v>
      </c>
      <c r="J9" s="46">
        <f>VLOOKUP($B9,Form_Oitavas!$C$2:$AQ$60,8,FALSE)</f>
        <v>0</v>
      </c>
      <c r="K9" s="47" t="str">
        <f t="shared" si="2"/>
        <v>casa</v>
      </c>
      <c r="L9" s="48">
        <f>IF(H9=OITAVAS!H$24,IF(OITAVAS!J$24=J9,Pesos!$N$6,IF(K9=OITAVAS!K$24,Pesos!$N$3,0)),IF(K9=OITAVAS!K$24,Pesos!$N$3,0))*IF(COUNTIF(K$3:K$23,K9)=1,2,1)</f>
        <v>6</v>
      </c>
      <c r="M9" s="46">
        <f>VLOOKUP($B9,Form_Oitavas!$C$2:$AQ$60,12,FALSE)</f>
        <v>1</v>
      </c>
      <c r="N9" s="48" t="s">
        <v>98</v>
      </c>
      <c r="O9" s="46">
        <f>VLOOKUP($B9,Form_Oitavas!$C$2:$AQ$60,13,FALSE)</f>
        <v>2</v>
      </c>
      <c r="P9" s="47" t="str">
        <f t="shared" si="3"/>
        <v>visita</v>
      </c>
      <c r="Q9" s="48">
        <f>IF(M9=OITAVAS!M$24,IF(OITAVAS!O$24=O9,Pesos!$N$6,IF(P9=OITAVAS!P$24,Pesos!$N$3,0)),IF(P9=OITAVAS!P$24,Pesos!$N$3,0))*IF(COUNTIF(P$3:P$23,P9)=1,2,1)</f>
        <v>0</v>
      </c>
      <c r="R9" s="46">
        <f>VLOOKUP($B9,Form_Oitavas!$C$2:$AQ$60,17,FALSE)</f>
        <v>0</v>
      </c>
      <c r="S9" s="48" t="s">
        <v>98</v>
      </c>
      <c r="T9" s="46">
        <f>VLOOKUP($B9,Form_Oitavas!$C$2:$AQ$60,18,FALSE)</f>
        <v>3</v>
      </c>
      <c r="U9" s="47" t="str">
        <f t="shared" si="4"/>
        <v>visita</v>
      </c>
      <c r="V9" s="48">
        <f>IF(R9=OITAVAS!R$24,IF(OITAVAS!T$24=T9,Pesos!$N$6,IF(U9=OITAVAS!U$24,Pesos!$N$3,0)),IF(U9=OITAVAS!U$24,Pesos!$N$3,0))*IF(COUNTIF(U$3:U$23,U9)=1,2,1)</f>
        <v>1</v>
      </c>
      <c r="W9" s="46">
        <f>VLOOKUP($B9,Form_Oitavas!$C$2:$AQ$60,22,FALSE)</f>
        <v>2</v>
      </c>
      <c r="X9" s="48" t="s">
        <v>98</v>
      </c>
      <c r="Y9" s="46">
        <f>VLOOKUP($B9,Form_Oitavas!$C$2:$AQ$60,23,FALSE)</f>
        <v>1</v>
      </c>
      <c r="Z9" s="47" t="str">
        <f t="shared" si="5"/>
        <v>casa</v>
      </c>
      <c r="AA9" s="48">
        <f>IF(W9=OITAVAS!W$24,IF(OITAVAS!Y$24=Y9,Pesos!$N$6,IF(Z9=OITAVAS!Z$24,Pesos!$N$3,0)),IF(Z9=OITAVAS!Z$24,Pesos!$N$3,0))*IF(COUNTIF(Z$3:Z$23,Z9)=1,2,1)</f>
        <v>0</v>
      </c>
      <c r="AB9" s="46">
        <f>VLOOKUP($B9,Form_Oitavas!$C$2:$AQ$60,27,FALSE)</f>
        <v>4</v>
      </c>
      <c r="AC9" s="48" t="s">
        <v>98</v>
      </c>
      <c r="AD9" s="46">
        <f>VLOOKUP($B9,Form_Oitavas!$C$2:$AQ$60,28,FALSE)</f>
        <v>0</v>
      </c>
      <c r="AE9" s="47" t="str">
        <f t="shared" si="6"/>
        <v>casa</v>
      </c>
      <c r="AF9" s="48">
        <f>IF(AB9=OITAVAS!AB$24,IF(OITAVAS!AD$24=AD9,Pesos!$N$6,IF(AE9=OITAVAS!AE$24,Pesos!$N$3,0)),IF(AE9=OITAVAS!AE$24,Pesos!$N$3,0))*IF(COUNTIF(AE$3:AE$23,AE9)=1,2,1)</f>
        <v>1</v>
      </c>
      <c r="AG9" s="46">
        <f>VLOOKUP($B9,Form_Oitavas!$C$2:$AQ$60,32,FALSE)</f>
        <v>2</v>
      </c>
      <c r="AH9" s="48" t="s">
        <v>98</v>
      </c>
      <c r="AI9" s="46">
        <f>VLOOKUP($B9,Form_Oitavas!$C$2:$AQ$60,33,FALSE)</f>
        <v>1</v>
      </c>
      <c r="AJ9" s="47" t="str">
        <f t="shared" si="7"/>
        <v>casa</v>
      </c>
      <c r="AK9" s="48">
        <f>IF(AG9=OITAVAS!AG$24,IF(OITAVAS!AI$24=AI9,Pesos!$N$6,IF(AJ9=OITAVAS!AJ$24,Pesos!$N$3,0)),IF(AJ9=OITAVAS!AJ$24,Pesos!$N$3,0))*IF(COUNTIF(AJ$3:AJ$23,AJ9)=1,2,1)</f>
        <v>1</v>
      </c>
      <c r="AL9" s="46">
        <f>VLOOKUP($B9,Form_Oitavas!$C$2:$AQ$60,37,FALSE)</f>
        <v>2</v>
      </c>
      <c r="AM9" s="48" t="s">
        <v>98</v>
      </c>
      <c r="AN9" s="46">
        <f>VLOOKUP($B9,Form_Oitavas!$C$2:$AQ$60,38,FALSE)</f>
        <v>2</v>
      </c>
      <c r="AO9" s="47" t="str">
        <f t="shared" si="8"/>
        <v>empate</v>
      </c>
      <c r="AP9" s="48">
        <f>IF(AL9=OITAVAS!AL$24,IF(OITAVAS!AN$24=AN9,Pesos!$N$6,IF(AO9=OITAVAS!AO$24,Pesos!$N$3,0)),IF(AO9=OITAVAS!AO$24,Pesos!$N$3,0))*IF(COUNTIF(AO$3:AO$23,AO9)=1,2,1)</f>
        <v>1</v>
      </c>
      <c r="AQ9" s="41"/>
      <c r="AR9" s="41">
        <f t="shared" si="9"/>
        <v>6</v>
      </c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</row>
    <row r="10" ht="14.25" customHeight="1">
      <c r="A10" s="40"/>
      <c r="B10" s="51" t="s">
        <v>5</v>
      </c>
      <c r="C10" s="46">
        <f>VLOOKUP($B10,Form_Oitavas!$C$2:$AQ$60,2,FALSE)</f>
        <v>2</v>
      </c>
      <c r="D10" s="48" t="s">
        <v>98</v>
      </c>
      <c r="E10" s="46">
        <f>VLOOKUP($B10,Form_Oitavas!$C$2:$AQ$60,3,FALSE)</f>
        <v>1</v>
      </c>
      <c r="F10" s="47" t="str">
        <f t="shared" si="1"/>
        <v>casa</v>
      </c>
      <c r="G10" s="48">
        <f>IF(C10=OITAVAS!C$24,IF(OITAVAS!E$24=E10,Pesos!$N$6,IF(F10=OITAVAS!F$24,Pesos!$N$3,0)),IF(F10=OITAVAS!F$24,Pesos!$N$3,0))*IF(COUNTIF(F$3:F$23,F10)=1,2,1)</f>
        <v>1</v>
      </c>
      <c r="H10" s="46">
        <f>VLOOKUP($B10,Form_Oitavas!$C$2:$AQ$60,7,FALSE)</f>
        <v>2</v>
      </c>
      <c r="I10" s="48" t="s">
        <v>98</v>
      </c>
      <c r="J10" s="46">
        <f>VLOOKUP($B10,Form_Oitavas!$C$2:$AQ$60,8,FALSE)</f>
        <v>3</v>
      </c>
      <c r="K10" s="47" t="str">
        <f t="shared" si="2"/>
        <v>visita</v>
      </c>
      <c r="L10" s="48">
        <f>IF(H10=OITAVAS!H$24,IF(OITAVAS!J$24=J10,Pesos!$N$6,IF(K10=OITAVAS!K$24,Pesos!$N$3,0)),IF(K10=OITAVAS!K$24,Pesos!$N$3,0))*IF(COUNTIF(K$3:K$23,K10)=1,2,1)</f>
        <v>0</v>
      </c>
      <c r="M10" s="46">
        <f>VLOOKUP($B10,Form_Oitavas!$C$2:$AQ$60,12,FALSE)</f>
        <v>2</v>
      </c>
      <c r="N10" s="48" t="s">
        <v>98</v>
      </c>
      <c r="O10" s="46">
        <f>VLOOKUP($B10,Form_Oitavas!$C$2:$AQ$60,13,FALSE)</f>
        <v>1</v>
      </c>
      <c r="P10" s="47" t="str">
        <f t="shared" si="3"/>
        <v>casa</v>
      </c>
      <c r="Q10" s="48">
        <f>IF(M10=OITAVAS!M$24,IF(OITAVAS!O$24=O10,Pesos!$N$6,IF(P10=OITAVAS!P$24,Pesos!$N$3,0)),IF(P10=OITAVAS!P$24,Pesos!$N$3,0))*IF(COUNTIF(P$3:P$23,P10)=1,2,1)</f>
        <v>1</v>
      </c>
      <c r="R10" s="46">
        <f>VLOOKUP($B10,Form_Oitavas!$C$2:$AQ$60,17,FALSE)</f>
        <v>1</v>
      </c>
      <c r="S10" s="48" t="s">
        <v>98</v>
      </c>
      <c r="T10" s="46">
        <f>VLOOKUP($B10,Form_Oitavas!$C$2:$AQ$60,18,FALSE)</f>
        <v>2</v>
      </c>
      <c r="U10" s="47" t="str">
        <f t="shared" si="4"/>
        <v>visita</v>
      </c>
      <c r="V10" s="48">
        <f>IF(R10=OITAVAS!R$24,IF(OITAVAS!T$24=T10,Pesos!$N$6,IF(U10=OITAVAS!U$24,Pesos!$N$3,0)),IF(U10=OITAVAS!U$24,Pesos!$N$3,0))*IF(COUNTIF(U$3:U$23,U10)=1,2,1)</f>
        <v>1</v>
      </c>
      <c r="W10" s="46">
        <f>VLOOKUP($B10,Form_Oitavas!$C$2:$AQ$60,22,FALSE)</f>
        <v>1</v>
      </c>
      <c r="X10" s="48" t="s">
        <v>98</v>
      </c>
      <c r="Y10" s="46">
        <f>VLOOKUP($B10,Form_Oitavas!$C$2:$AQ$60,23,FALSE)</f>
        <v>1</v>
      </c>
      <c r="Z10" s="47" t="str">
        <f t="shared" si="5"/>
        <v>empate</v>
      </c>
      <c r="AA10" s="48">
        <f>IF(W10=OITAVAS!W$24,IF(OITAVAS!Y$24=Y10,Pesos!$N$6,IF(Z10=OITAVAS!Z$24,Pesos!$N$3,0)),IF(Z10=OITAVAS!Z$24,Pesos!$N$3,0))*IF(COUNTIF(Z$3:Z$23,Z10)=1,2,1)</f>
        <v>6</v>
      </c>
      <c r="AB10" s="46">
        <f>VLOOKUP($B10,Form_Oitavas!$C$2:$AQ$60,27,FALSE)</f>
        <v>1</v>
      </c>
      <c r="AC10" s="48" t="s">
        <v>98</v>
      </c>
      <c r="AD10" s="46">
        <f>VLOOKUP($B10,Form_Oitavas!$C$2:$AQ$60,28,FALSE)</f>
        <v>0</v>
      </c>
      <c r="AE10" s="47" t="str">
        <f t="shared" si="6"/>
        <v>casa</v>
      </c>
      <c r="AF10" s="48">
        <f>IF(AB10=OITAVAS!AB$24,IF(OITAVAS!AD$24=AD10,Pesos!$N$6,IF(AE10=OITAVAS!AE$24,Pesos!$N$3,0)),IF(AE10=OITAVAS!AE$24,Pesos!$N$3,0))*IF(COUNTIF(AE$3:AE$23,AE10)=1,2,1)</f>
        <v>1</v>
      </c>
      <c r="AG10" s="46">
        <f>VLOOKUP($B10,Form_Oitavas!$C$2:$AQ$60,32,FALSE)</f>
        <v>2</v>
      </c>
      <c r="AH10" s="48" t="s">
        <v>98</v>
      </c>
      <c r="AI10" s="46">
        <f>VLOOKUP($B10,Form_Oitavas!$C$2:$AQ$60,33,FALSE)</f>
        <v>1</v>
      </c>
      <c r="AJ10" s="47" t="str">
        <f t="shared" si="7"/>
        <v>casa</v>
      </c>
      <c r="AK10" s="48">
        <f>IF(AG10=OITAVAS!AG$24,IF(OITAVAS!AI$24=AI10,Pesos!$N$6,IF(AJ10=OITAVAS!AJ$24,Pesos!$N$3,0)),IF(AJ10=OITAVAS!AJ$24,Pesos!$N$3,0))*IF(COUNTIF(AJ$3:AJ$23,AJ10)=1,2,1)</f>
        <v>1</v>
      </c>
      <c r="AL10" s="46">
        <f>VLOOKUP($B10,Form_Oitavas!$C$2:$AQ$60,37,FALSE)</f>
        <v>1</v>
      </c>
      <c r="AM10" s="48" t="s">
        <v>98</v>
      </c>
      <c r="AN10" s="46">
        <f>VLOOKUP($B10,Form_Oitavas!$C$2:$AQ$60,38,FALSE)</f>
        <v>0</v>
      </c>
      <c r="AO10" s="47" t="str">
        <f t="shared" si="8"/>
        <v>casa</v>
      </c>
      <c r="AP10" s="48">
        <f>IF(AL10=OITAVAS!AL$24,IF(OITAVAS!AN$24=AN10,Pesos!$N$6,IF(AO10=OITAVAS!AO$24,Pesos!$N$3,0)),IF(AO10=OITAVAS!AO$24,Pesos!$N$3,0))*IF(COUNTIF(AO$3:AO$23,AO10)=1,2,1)</f>
        <v>0</v>
      </c>
      <c r="AQ10" s="41"/>
      <c r="AR10" s="41">
        <f t="shared" si="9"/>
        <v>6</v>
      </c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</row>
    <row r="11" ht="14.25" customHeight="1">
      <c r="A11" s="40"/>
      <c r="B11" s="51" t="s">
        <v>4</v>
      </c>
      <c r="C11" s="46">
        <f>VLOOKUP($B11,Form_Oitavas!$C$2:$AQ$60,2,FALSE)</f>
        <v>2</v>
      </c>
      <c r="D11" s="9" t="s">
        <v>98</v>
      </c>
      <c r="E11" s="46">
        <f>VLOOKUP($B11,Form_Oitavas!$C$2:$AQ$60,3,FALSE)</f>
        <v>2</v>
      </c>
      <c r="F11" s="47" t="str">
        <f t="shared" si="1"/>
        <v>empate</v>
      </c>
      <c r="G11" s="48">
        <f>IF(C11=OITAVAS!C$24,IF(OITAVAS!E$24=E11,Pesos!$N$6,IF(F11=OITAVAS!F$24,Pesos!$N$3,0)),IF(F11=OITAVAS!F$24,Pesos!$N$3,0))*IF(COUNTIF(F$3:F$23,F11)=1,2,1)</f>
        <v>0</v>
      </c>
      <c r="H11" s="46">
        <f>VLOOKUP($B11,Form_Oitavas!$C$2:$AQ$60,7,FALSE)</f>
        <v>1</v>
      </c>
      <c r="I11" s="9" t="s">
        <v>98</v>
      </c>
      <c r="J11" s="46">
        <f>VLOOKUP($B11,Form_Oitavas!$C$2:$AQ$60,8,FALSE)</f>
        <v>0</v>
      </c>
      <c r="K11" s="47" t="str">
        <f t="shared" si="2"/>
        <v>casa</v>
      </c>
      <c r="L11" s="48">
        <f>IF(H11=OITAVAS!H$24,IF(OITAVAS!J$24=J11,Pesos!$N$6,IF(K11=OITAVAS!K$24,Pesos!$N$3,0)),IF(K11=OITAVAS!K$24,Pesos!$N$3,0))*IF(COUNTIF(K$3:K$23,K11)=1,2,1)</f>
        <v>6</v>
      </c>
      <c r="M11" s="46">
        <f>VLOOKUP($B11,Form_Oitavas!$C$2:$AQ$60,12,FALSE)</f>
        <v>1</v>
      </c>
      <c r="N11" s="9" t="s">
        <v>98</v>
      </c>
      <c r="O11" s="46">
        <f>VLOOKUP($B11,Form_Oitavas!$C$2:$AQ$60,13,FALSE)</f>
        <v>1</v>
      </c>
      <c r="P11" s="47" t="str">
        <f t="shared" si="3"/>
        <v>empate</v>
      </c>
      <c r="Q11" s="48">
        <f>IF(M11=OITAVAS!M$24,IF(OITAVAS!O$24=O11,Pesos!$N$6,IF(P11=OITAVAS!P$24,Pesos!$N$3,0)),IF(P11=OITAVAS!P$24,Pesos!$N$3,0))*IF(COUNTIF(P$3:P$23,P11)=1,2,1)</f>
        <v>0</v>
      </c>
      <c r="R11" s="46">
        <f>VLOOKUP($B11,Form_Oitavas!$C$2:$AQ$60,17,FALSE)</f>
        <v>1</v>
      </c>
      <c r="S11" s="9" t="s">
        <v>98</v>
      </c>
      <c r="T11" s="46">
        <f>VLOOKUP($B11,Form_Oitavas!$C$2:$AQ$60,18,FALSE)</f>
        <v>2</v>
      </c>
      <c r="U11" s="47" t="str">
        <f t="shared" si="4"/>
        <v>visita</v>
      </c>
      <c r="V11" s="48">
        <f>IF(R11=OITAVAS!R$24,IF(OITAVAS!T$24=T11,Pesos!$N$6,IF(U11=OITAVAS!U$24,Pesos!$N$3,0)),IF(U11=OITAVAS!U$24,Pesos!$N$3,0))*IF(COUNTIF(U$3:U$23,U11)=1,2,1)</f>
        <v>1</v>
      </c>
      <c r="W11" s="46">
        <f>VLOOKUP($B11,Form_Oitavas!$C$2:$AQ$60,22,FALSE)</f>
        <v>1</v>
      </c>
      <c r="X11" s="9" t="s">
        <v>98</v>
      </c>
      <c r="Y11" s="46">
        <f>VLOOKUP($B11,Form_Oitavas!$C$2:$AQ$60,23,FALSE)</f>
        <v>2</v>
      </c>
      <c r="Z11" s="47" t="str">
        <f t="shared" si="5"/>
        <v>visita</v>
      </c>
      <c r="AA11" s="48">
        <f>IF(W11=OITAVAS!W$24,IF(OITAVAS!Y$24=Y11,Pesos!$N$6,IF(Z11=OITAVAS!Z$24,Pesos!$N$3,0)),IF(Z11=OITAVAS!Z$24,Pesos!$N$3,0))*IF(COUNTIF(Z$3:Z$23,Z11)=1,2,1)</f>
        <v>0</v>
      </c>
      <c r="AB11" s="46">
        <f>VLOOKUP($B11,Form_Oitavas!$C$2:$AQ$60,27,FALSE)</f>
        <v>1</v>
      </c>
      <c r="AC11" s="9" t="s">
        <v>98</v>
      </c>
      <c r="AD11" s="46">
        <f>VLOOKUP($B11,Form_Oitavas!$C$2:$AQ$60,28,FALSE)</f>
        <v>0</v>
      </c>
      <c r="AE11" s="47" t="str">
        <f t="shared" si="6"/>
        <v>casa</v>
      </c>
      <c r="AF11" s="48">
        <f>IF(AB11=OITAVAS!AB$24,IF(OITAVAS!AD$24=AD11,Pesos!$N$6,IF(AE11=OITAVAS!AE$24,Pesos!$N$3,0)),IF(AE11=OITAVAS!AE$24,Pesos!$N$3,0))*IF(COUNTIF(AE$3:AE$23,AE11)=1,2,1)</f>
        <v>1</v>
      </c>
      <c r="AG11" s="46">
        <f>VLOOKUP($B11,Form_Oitavas!$C$2:$AQ$60,32,FALSE)</f>
        <v>2</v>
      </c>
      <c r="AH11" s="9" t="s">
        <v>98</v>
      </c>
      <c r="AI11" s="46">
        <f>VLOOKUP($B11,Form_Oitavas!$C$2:$AQ$60,33,FALSE)</f>
        <v>0</v>
      </c>
      <c r="AJ11" s="47" t="str">
        <f t="shared" si="7"/>
        <v>casa</v>
      </c>
      <c r="AK11" s="48">
        <f>IF(AG11=OITAVAS!AG$24,IF(OITAVAS!AI$24=AI11,Pesos!$N$6,IF(AJ11=OITAVAS!AJ$24,Pesos!$N$3,0)),IF(AJ11=OITAVAS!AJ$24,Pesos!$N$3,0))*IF(COUNTIF(AJ$3:AJ$23,AJ11)=1,2,1)</f>
        <v>1</v>
      </c>
      <c r="AL11" s="46">
        <f>VLOOKUP($B11,Form_Oitavas!$C$2:$AQ$60,37,FALSE)</f>
        <v>1</v>
      </c>
      <c r="AM11" s="9" t="s">
        <v>98</v>
      </c>
      <c r="AN11" s="46">
        <f>VLOOKUP($B11,Form_Oitavas!$C$2:$AQ$60,38,FALSE)</f>
        <v>2</v>
      </c>
      <c r="AO11" s="47" t="str">
        <f t="shared" si="8"/>
        <v>visita</v>
      </c>
      <c r="AP11" s="48">
        <f>IF(AL11=OITAVAS!AL$24,IF(OITAVAS!AN$24=AN11,Pesos!$N$6,IF(AO11=OITAVAS!AO$24,Pesos!$N$3,0)),IF(AO11=OITAVAS!AO$24,Pesos!$N$3,0))*IF(COUNTIF(AO$3:AO$23,AO11)=1,2,1)</f>
        <v>0</v>
      </c>
      <c r="AQ11" s="41"/>
      <c r="AR11" s="41">
        <f t="shared" si="9"/>
        <v>4</v>
      </c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</row>
    <row r="12" ht="14.25" customHeight="1">
      <c r="A12" s="40"/>
      <c r="B12" s="51" t="s">
        <v>18</v>
      </c>
      <c r="C12" s="46">
        <f>VLOOKUP($B12,Form_Oitavas!$C$2:$AQ$60,2,FALSE)</f>
        <v>2</v>
      </c>
      <c r="D12" s="9" t="s">
        <v>98</v>
      </c>
      <c r="E12" s="46">
        <f>VLOOKUP($B12,Form_Oitavas!$C$2:$AQ$60,3,FALSE)</f>
        <v>1</v>
      </c>
      <c r="F12" s="47" t="str">
        <f t="shared" si="1"/>
        <v>casa</v>
      </c>
      <c r="G12" s="48">
        <f>IF(C12=OITAVAS!C$24,IF(OITAVAS!E$24=E12,Pesos!$N$6,IF(F12=OITAVAS!F$24,Pesos!$N$3,0)),IF(F12=OITAVAS!F$24,Pesos!$N$3,0))*IF(COUNTIF(F$3:F$23,F12)=1,2,1)</f>
        <v>1</v>
      </c>
      <c r="H12" s="46">
        <f>VLOOKUP($B12,Form_Oitavas!$C$2:$AQ$60,7,FALSE)</f>
        <v>1</v>
      </c>
      <c r="I12" s="9" t="s">
        <v>98</v>
      </c>
      <c r="J12" s="46">
        <f>VLOOKUP($B12,Form_Oitavas!$C$2:$AQ$60,8,FALSE)</f>
        <v>2</v>
      </c>
      <c r="K12" s="47" t="str">
        <f t="shared" si="2"/>
        <v>visita</v>
      </c>
      <c r="L12" s="48">
        <f>IF(H12=OITAVAS!H$24,IF(OITAVAS!J$24=J12,Pesos!$N$6,IF(K12=OITAVAS!K$24,Pesos!$N$3,0)),IF(K12=OITAVAS!K$24,Pesos!$N$3,0))*IF(COUNTIF(K$3:K$23,K12)=1,2,1)</f>
        <v>0</v>
      </c>
      <c r="M12" s="46">
        <f>VLOOKUP($B12,Form_Oitavas!$C$2:$AQ$60,12,FALSE)</f>
        <v>1</v>
      </c>
      <c r="N12" s="9" t="s">
        <v>98</v>
      </c>
      <c r="O12" s="46">
        <f>VLOOKUP($B12,Form_Oitavas!$C$2:$AQ$60,13,FALSE)</f>
        <v>2</v>
      </c>
      <c r="P12" s="47" t="str">
        <f t="shared" si="3"/>
        <v>visita</v>
      </c>
      <c r="Q12" s="48">
        <f>IF(M12=OITAVAS!M$24,IF(OITAVAS!O$24=O12,Pesos!$N$6,IF(P12=OITAVAS!P$24,Pesos!$N$3,0)),IF(P12=OITAVAS!P$24,Pesos!$N$3,0))*IF(COUNTIF(P$3:P$23,P12)=1,2,1)</f>
        <v>0</v>
      </c>
      <c r="R12" s="46">
        <f>VLOOKUP($B12,Form_Oitavas!$C$2:$AQ$60,17,FALSE)</f>
        <v>1</v>
      </c>
      <c r="S12" s="9" t="s">
        <v>98</v>
      </c>
      <c r="T12" s="46">
        <f>VLOOKUP($B12,Form_Oitavas!$C$2:$AQ$60,18,FALSE)</f>
        <v>2</v>
      </c>
      <c r="U12" s="47" t="str">
        <f t="shared" si="4"/>
        <v>visita</v>
      </c>
      <c r="V12" s="48">
        <f>IF(R12=OITAVAS!R$24,IF(OITAVAS!T$24=T12,Pesos!$N$6,IF(U12=OITAVAS!U$24,Pesos!$N$3,0)),IF(U12=OITAVAS!U$24,Pesos!$N$3,0))*IF(COUNTIF(U$3:U$23,U12)=1,2,1)</f>
        <v>1</v>
      </c>
      <c r="W12" s="46">
        <f>VLOOKUP($B12,Form_Oitavas!$C$2:$AQ$60,22,FALSE)</f>
        <v>2</v>
      </c>
      <c r="X12" s="9" t="s">
        <v>98</v>
      </c>
      <c r="Y12" s="46">
        <f>VLOOKUP($B12,Form_Oitavas!$C$2:$AQ$60,23,FALSE)</f>
        <v>1</v>
      </c>
      <c r="Z12" s="47" t="str">
        <f t="shared" si="5"/>
        <v>casa</v>
      </c>
      <c r="AA12" s="48">
        <f>IF(W12=OITAVAS!W$24,IF(OITAVAS!Y$24=Y12,Pesos!$N$6,IF(Z12=OITAVAS!Z$24,Pesos!$N$3,0)),IF(Z12=OITAVAS!Z$24,Pesos!$N$3,0))*IF(COUNTIF(Z$3:Z$23,Z12)=1,2,1)</f>
        <v>0</v>
      </c>
      <c r="AB12" s="46">
        <f>VLOOKUP($B12,Form_Oitavas!$C$2:$AQ$60,27,FALSE)</f>
        <v>2</v>
      </c>
      <c r="AC12" s="9" t="s">
        <v>98</v>
      </c>
      <c r="AD12" s="46">
        <f>VLOOKUP($B12,Form_Oitavas!$C$2:$AQ$60,28,FALSE)</f>
        <v>0</v>
      </c>
      <c r="AE12" s="47" t="str">
        <f t="shared" si="6"/>
        <v>casa</v>
      </c>
      <c r="AF12" s="48">
        <f>IF(AB12=OITAVAS!AB$24,IF(OITAVAS!AD$24=AD12,Pesos!$N$6,IF(AE12=OITAVAS!AE$24,Pesos!$N$3,0)),IF(AE12=OITAVAS!AE$24,Pesos!$N$3,0))*IF(COUNTIF(AE$3:AE$23,AE12)=1,2,1)</f>
        <v>1</v>
      </c>
      <c r="AG12" s="46">
        <f>VLOOKUP($B12,Form_Oitavas!$C$2:$AQ$60,32,FALSE)</f>
        <v>2</v>
      </c>
      <c r="AH12" s="9" t="s">
        <v>98</v>
      </c>
      <c r="AI12" s="46">
        <f>VLOOKUP($B12,Form_Oitavas!$C$2:$AQ$60,33,FALSE)</f>
        <v>0</v>
      </c>
      <c r="AJ12" s="47" t="str">
        <f t="shared" si="7"/>
        <v>casa</v>
      </c>
      <c r="AK12" s="48">
        <f>IF(AG12=OITAVAS!AG$24,IF(OITAVAS!AI$24=AI12,Pesos!$N$6,IF(AJ12=OITAVAS!AJ$24,Pesos!$N$3,0)),IF(AJ12=OITAVAS!AJ$24,Pesos!$N$3,0))*IF(COUNTIF(AJ$3:AJ$23,AJ12)=1,2,1)</f>
        <v>1</v>
      </c>
      <c r="AL12" s="46">
        <f>VLOOKUP($B12,Form_Oitavas!$C$2:$AQ$60,37,FALSE)</f>
        <v>0</v>
      </c>
      <c r="AM12" s="9" t="s">
        <v>98</v>
      </c>
      <c r="AN12" s="46">
        <f>VLOOKUP($B12,Form_Oitavas!$C$2:$AQ$60,38,FALSE)</f>
        <v>2</v>
      </c>
      <c r="AO12" s="47" t="str">
        <f t="shared" si="8"/>
        <v>visita</v>
      </c>
      <c r="AP12" s="48">
        <f>IF(AL12=OITAVAS!AL$24,IF(OITAVAS!AN$24=AN12,Pesos!$N$6,IF(AO12=OITAVAS!AO$24,Pesos!$N$3,0)),IF(AO12=OITAVAS!AO$24,Pesos!$N$3,0))*IF(COUNTIF(AO$3:AO$23,AO12)=1,2,1)</f>
        <v>0</v>
      </c>
      <c r="AQ12" s="41"/>
      <c r="AR12" s="41">
        <f t="shared" si="9"/>
        <v>4</v>
      </c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</row>
    <row r="13" ht="14.25" customHeight="1">
      <c r="A13" s="40"/>
      <c r="B13" s="51" t="s">
        <v>2</v>
      </c>
      <c r="C13" s="46">
        <f>VLOOKUP($B13,Form_Oitavas!$C$2:$AQ$60,2,FALSE)</f>
        <v>2</v>
      </c>
      <c r="D13" s="9" t="s">
        <v>98</v>
      </c>
      <c r="E13" s="46">
        <f>VLOOKUP($B13,Form_Oitavas!$C$2:$AQ$60,3,FALSE)</f>
        <v>1</v>
      </c>
      <c r="F13" s="47" t="str">
        <f t="shared" si="1"/>
        <v>casa</v>
      </c>
      <c r="G13" s="48">
        <f>IF(C13=OITAVAS!C$24,IF(OITAVAS!E$24=E13,Pesos!$N$6,IF(F13=OITAVAS!F$24,Pesos!$N$3,0)),IF(F13=OITAVAS!F$24,Pesos!$N$3,0))*IF(COUNTIF(F$3:F$23,F13)=1,2,1)</f>
        <v>1</v>
      </c>
      <c r="H13" s="46">
        <f>VLOOKUP($B13,Form_Oitavas!$C$2:$AQ$60,7,FALSE)</f>
        <v>1</v>
      </c>
      <c r="I13" s="9" t="s">
        <v>98</v>
      </c>
      <c r="J13" s="46">
        <f>VLOOKUP($B13,Form_Oitavas!$C$2:$AQ$60,8,FALSE)</f>
        <v>3</v>
      </c>
      <c r="K13" s="47" t="str">
        <f t="shared" si="2"/>
        <v>visita</v>
      </c>
      <c r="L13" s="48">
        <f>IF(H13=OITAVAS!H$24,IF(OITAVAS!J$24=J13,Pesos!$N$6,IF(K13=OITAVAS!K$24,Pesos!$N$3,0)),IF(K13=OITAVAS!K$24,Pesos!$N$3,0))*IF(COUNTIF(K$3:K$23,K13)=1,2,1)</f>
        <v>0</v>
      </c>
      <c r="M13" s="46">
        <f>VLOOKUP($B13,Form_Oitavas!$C$2:$AQ$60,12,FALSE)</f>
        <v>2</v>
      </c>
      <c r="N13" s="9" t="s">
        <v>98</v>
      </c>
      <c r="O13" s="46">
        <f>VLOOKUP($B13,Form_Oitavas!$C$2:$AQ$60,13,FALSE)</f>
        <v>1</v>
      </c>
      <c r="P13" s="47" t="str">
        <f t="shared" si="3"/>
        <v>casa</v>
      </c>
      <c r="Q13" s="48">
        <f>IF(M13=OITAVAS!M$24,IF(OITAVAS!O$24=O13,Pesos!$N$6,IF(P13=OITAVAS!P$24,Pesos!$N$3,0)),IF(P13=OITAVAS!P$24,Pesos!$N$3,0))*IF(COUNTIF(P$3:P$23,P13)=1,2,1)</f>
        <v>1</v>
      </c>
      <c r="R13" s="46">
        <f>VLOOKUP($B13,Form_Oitavas!$C$2:$AQ$60,17,FALSE)</f>
        <v>1</v>
      </c>
      <c r="S13" s="9" t="s">
        <v>98</v>
      </c>
      <c r="T13" s="46">
        <f>VLOOKUP($B13,Form_Oitavas!$C$2:$AQ$60,18,FALSE)</f>
        <v>3</v>
      </c>
      <c r="U13" s="47" t="str">
        <f t="shared" si="4"/>
        <v>visita</v>
      </c>
      <c r="V13" s="48">
        <f>IF(R13=OITAVAS!R$24,IF(OITAVAS!T$24=T13,Pesos!$N$6,IF(U13=OITAVAS!U$24,Pesos!$N$3,0)),IF(U13=OITAVAS!U$24,Pesos!$N$3,0))*IF(COUNTIF(U$3:U$23,U13)=1,2,1)</f>
        <v>1</v>
      </c>
      <c r="W13" s="46">
        <f>VLOOKUP($B13,Form_Oitavas!$C$2:$AQ$60,22,FALSE)</f>
        <v>2</v>
      </c>
      <c r="X13" s="9" t="s">
        <v>98</v>
      </c>
      <c r="Y13" s="46">
        <f>VLOOKUP($B13,Form_Oitavas!$C$2:$AQ$60,23,FALSE)</f>
        <v>2</v>
      </c>
      <c r="Z13" s="47" t="str">
        <f t="shared" si="5"/>
        <v>empate</v>
      </c>
      <c r="AA13" s="48">
        <f>IF(W13=OITAVAS!W$24,IF(OITAVAS!Y$24=Y13,Pesos!$N$6,IF(Z13=OITAVAS!Z$24,Pesos!$N$3,0)),IF(Z13=OITAVAS!Z$24,Pesos!$N$3,0))*IF(COUNTIF(Z$3:Z$23,Z13)=1,2,1)</f>
        <v>1</v>
      </c>
      <c r="AB13" s="46">
        <f>VLOOKUP($B13,Form_Oitavas!$C$2:$AQ$60,27,FALSE)</f>
        <v>2</v>
      </c>
      <c r="AC13" s="9" t="s">
        <v>98</v>
      </c>
      <c r="AD13" s="46">
        <f>VLOOKUP($B13,Form_Oitavas!$C$2:$AQ$60,28,FALSE)</f>
        <v>0</v>
      </c>
      <c r="AE13" s="47" t="str">
        <f t="shared" si="6"/>
        <v>casa</v>
      </c>
      <c r="AF13" s="48">
        <f>IF(AB13=OITAVAS!AB$24,IF(OITAVAS!AD$24=AD13,Pesos!$N$6,IF(AE13=OITAVAS!AE$24,Pesos!$N$3,0)),IF(AE13=OITAVAS!AE$24,Pesos!$N$3,0))*IF(COUNTIF(AE$3:AE$23,AE13)=1,2,1)</f>
        <v>1</v>
      </c>
      <c r="AG13" s="46">
        <f>VLOOKUP($B13,Form_Oitavas!$C$2:$AQ$60,32,FALSE)</f>
        <v>2</v>
      </c>
      <c r="AH13" s="9" t="s">
        <v>98</v>
      </c>
      <c r="AI13" s="46">
        <f>VLOOKUP($B13,Form_Oitavas!$C$2:$AQ$60,33,FALSE)</f>
        <v>2</v>
      </c>
      <c r="AJ13" s="47" t="str">
        <f t="shared" si="7"/>
        <v>empate</v>
      </c>
      <c r="AK13" s="48">
        <f>IF(AG13=OITAVAS!AG$24,IF(OITAVAS!AI$24=AI13,Pesos!$N$6,IF(AJ13=OITAVAS!AJ$24,Pesos!$N$3,0)),IF(AJ13=OITAVAS!AJ$24,Pesos!$N$3,0))*IF(COUNTIF(AJ$3:AJ$23,AJ13)=1,2,1)</f>
        <v>0</v>
      </c>
      <c r="AL13" s="46">
        <f>VLOOKUP($B13,Form_Oitavas!$C$2:$AQ$60,37,FALSE)</f>
        <v>1</v>
      </c>
      <c r="AM13" s="9" t="s">
        <v>98</v>
      </c>
      <c r="AN13" s="46">
        <f>VLOOKUP($B13,Form_Oitavas!$C$2:$AQ$60,38,FALSE)</f>
        <v>3</v>
      </c>
      <c r="AO13" s="47" t="str">
        <f t="shared" si="8"/>
        <v>visita</v>
      </c>
      <c r="AP13" s="48">
        <f>IF(AL13=OITAVAS!AL$24,IF(OITAVAS!AN$24=AN13,Pesos!$N$6,IF(AO13=OITAVAS!AO$24,Pesos!$N$3,0)),IF(AO13=OITAVAS!AO$24,Pesos!$N$3,0))*IF(COUNTIF(AO$3:AO$23,AO13)=1,2,1)</f>
        <v>0</v>
      </c>
      <c r="AQ13" s="41"/>
      <c r="AR13" s="41">
        <f t="shared" si="9"/>
        <v>5</v>
      </c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</row>
    <row r="14" ht="14.25" customHeight="1">
      <c r="A14" s="40"/>
      <c r="B14" s="51" t="s">
        <v>15</v>
      </c>
      <c r="C14" s="46">
        <f>VLOOKUP($B14,Form_Oitavas!$C$2:$AQ$60,2,FALSE)</f>
        <v>2</v>
      </c>
      <c r="D14" s="9" t="s">
        <v>98</v>
      </c>
      <c r="E14" s="46">
        <f>VLOOKUP($B14,Form_Oitavas!$C$2:$AQ$60,3,FALSE)</f>
        <v>2</v>
      </c>
      <c r="F14" s="47" t="str">
        <f t="shared" si="1"/>
        <v>empate</v>
      </c>
      <c r="G14" s="48">
        <f>IF(C14=OITAVAS!C$24,IF(OITAVAS!E$24=E14,Pesos!$N$6,IF(F14=OITAVAS!F$24,Pesos!$N$3,0)),IF(F14=OITAVAS!F$24,Pesos!$N$3,0))*IF(COUNTIF(F$3:F$23,F14)=1,2,1)</f>
        <v>0</v>
      </c>
      <c r="H14" s="46">
        <f>VLOOKUP($B14,Form_Oitavas!$C$2:$AQ$60,7,FALSE)</f>
        <v>1</v>
      </c>
      <c r="I14" s="9" t="s">
        <v>98</v>
      </c>
      <c r="J14" s="46">
        <f>VLOOKUP($B14,Form_Oitavas!$C$2:$AQ$60,8,FALSE)</f>
        <v>2</v>
      </c>
      <c r="K14" s="47" t="str">
        <f t="shared" si="2"/>
        <v>visita</v>
      </c>
      <c r="L14" s="48">
        <f>IF(H14=OITAVAS!H$24,IF(OITAVAS!J$24=J14,Pesos!$N$6,IF(K14=OITAVAS!K$24,Pesos!$N$3,0)),IF(K14=OITAVAS!K$24,Pesos!$N$3,0))*IF(COUNTIF(K$3:K$23,K14)=1,2,1)</f>
        <v>0</v>
      </c>
      <c r="M14" s="46">
        <f>VLOOKUP($B14,Form_Oitavas!$C$2:$AQ$60,12,FALSE)</f>
        <v>2</v>
      </c>
      <c r="N14" s="9" t="s">
        <v>98</v>
      </c>
      <c r="O14" s="46">
        <f>VLOOKUP($B14,Form_Oitavas!$C$2:$AQ$60,13,FALSE)</f>
        <v>2</v>
      </c>
      <c r="P14" s="47" t="str">
        <f t="shared" si="3"/>
        <v>empate</v>
      </c>
      <c r="Q14" s="48">
        <f>IF(M14=OITAVAS!M$24,IF(OITAVAS!O$24=O14,Pesos!$N$6,IF(P14=OITAVAS!P$24,Pesos!$N$3,0)),IF(P14=OITAVAS!P$24,Pesos!$N$3,0))*IF(COUNTIF(P$3:P$23,P14)=1,2,1)</f>
        <v>0</v>
      </c>
      <c r="R14" s="46">
        <f>VLOOKUP($B14,Form_Oitavas!$C$2:$AQ$60,17,FALSE)</f>
        <v>1</v>
      </c>
      <c r="S14" s="9" t="s">
        <v>98</v>
      </c>
      <c r="T14" s="46">
        <f>VLOOKUP($B14,Form_Oitavas!$C$2:$AQ$60,18,FALSE)</f>
        <v>1</v>
      </c>
      <c r="U14" s="47" t="str">
        <f t="shared" si="4"/>
        <v>empate</v>
      </c>
      <c r="V14" s="48">
        <f>IF(R14=OITAVAS!R$24,IF(OITAVAS!T$24=T14,Pesos!$N$6,IF(U14=OITAVAS!U$24,Pesos!$N$3,0)),IF(U14=OITAVAS!U$24,Pesos!$N$3,0))*IF(COUNTIF(U$3:U$23,U14)=1,2,1)</f>
        <v>0</v>
      </c>
      <c r="W14" s="46">
        <f>VLOOKUP($B14,Form_Oitavas!$C$2:$AQ$60,22,FALSE)</f>
        <v>1</v>
      </c>
      <c r="X14" s="9" t="s">
        <v>98</v>
      </c>
      <c r="Y14" s="46">
        <f>VLOOKUP($B14,Form_Oitavas!$C$2:$AQ$60,23,FALSE)</f>
        <v>2</v>
      </c>
      <c r="Z14" s="47" t="str">
        <f t="shared" si="5"/>
        <v>visita</v>
      </c>
      <c r="AA14" s="48">
        <f>IF(W14=OITAVAS!W$24,IF(OITAVAS!Y$24=Y14,Pesos!$N$6,IF(Z14=OITAVAS!Z$24,Pesos!$N$3,0)),IF(Z14=OITAVAS!Z$24,Pesos!$N$3,0))*IF(COUNTIF(Z$3:Z$23,Z14)=1,2,1)</f>
        <v>0</v>
      </c>
      <c r="AB14" s="46">
        <f>VLOOKUP($B14,Form_Oitavas!$C$2:$AQ$60,27,FALSE)</f>
        <v>1</v>
      </c>
      <c r="AC14" s="9" t="s">
        <v>98</v>
      </c>
      <c r="AD14" s="46">
        <f>VLOOKUP($B14,Form_Oitavas!$C$2:$AQ$60,28,FALSE)</f>
        <v>1</v>
      </c>
      <c r="AE14" s="47" t="str">
        <f t="shared" si="6"/>
        <v>empate</v>
      </c>
      <c r="AF14" s="48">
        <f>IF(AB14=OITAVAS!AB$24,IF(OITAVAS!AD$24=AD14,Pesos!$N$6,IF(AE14=OITAVAS!AE$24,Pesos!$N$3,0)),IF(AE14=OITAVAS!AE$24,Pesos!$N$3,0))*IF(COUNTIF(AE$3:AE$23,AE14)=1,2,1)</f>
        <v>0</v>
      </c>
      <c r="AG14" s="46">
        <f>VLOOKUP($B14,Form_Oitavas!$C$2:$AQ$60,32,FALSE)</f>
        <v>2</v>
      </c>
      <c r="AH14" s="9" t="s">
        <v>98</v>
      </c>
      <c r="AI14" s="46">
        <f>VLOOKUP($B14,Form_Oitavas!$C$2:$AQ$60,33,FALSE)</f>
        <v>0</v>
      </c>
      <c r="AJ14" s="47" t="str">
        <f t="shared" si="7"/>
        <v>casa</v>
      </c>
      <c r="AK14" s="48">
        <f>IF(AG14=OITAVAS!AG$24,IF(OITAVAS!AI$24=AI14,Pesos!$N$6,IF(AJ14=OITAVAS!AJ$24,Pesos!$N$3,0)),IF(AJ14=OITAVAS!AJ$24,Pesos!$N$3,0))*IF(COUNTIF(AJ$3:AJ$23,AJ14)=1,2,1)</f>
        <v>1</v>
      </c>
      <c r="AL14" s="46">
        <f>VLOOKUP($B14,Form_Oitavas!$C$2:$AQ$60,37,FALSE)</f>
        <v>1</v>
      </c>
      <c r="AM14" s="9" t="s">
        <v>98</v>
      </c>
      <c r="AN14" s="46">
        <f>VLOOKUP($B14,Form_Oitavas!$C$2:$AQ$60,38,FALSE)</f>
        <v>2</v>
      </c>
      <c r="AO14" s="47" t="str">
        <f t="shared" si="8"/>
        <v>visita</v>
      </c>
      <c r="AP14" s="48">
        <f>IF(AL14=OITAVAS!AL$24,IF(OITAVAS!AN$24=AN14,Pesos!$N$6,IF(AO14=OITAVAS!AO$24,Pesos!$N$3,0)),IF(AO14=OITAVAS!AO$24,Pesos!$N$3,0))*IF(COUNTIF(AO$3:AO$23,AO14)=1,2,1)</f>
        <v>0</v>
      </c>
      <c r="AQ14" s="41"/>
      <c r="AR14" s="41">
        <f t="shared" si="9"/>
        <v>1</v>
      </c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</row>
    <row r="15" ht="14.25" customHeight="1">
      <c r="A15" s="40"/>
      <c r="B15" s="51" t="s">
        <v>12</v>
      </c>
      <c r="C15" s="46">
        <f>VLOOKUP($B15,Form_Oitavas!$C$2:$AQ$60,2,FALSE)</f>
        <v>3</v>
      </c>
      <c r="D15" s="9" t="s">
        <v>98</v>
      </c>
      <c r="E15" s="46">
        <f>VLOOKUP($B15,Form_Oitavas!$C$2:$AQ$60,3,FALSE)</f>
        <v>1</v>
      </c>
      <c r="F15" s="47" t="str">
        <f t="shared" si="1"/>
        <v>casa</v>
      </c>
      <c r="G15" s="48">
        <f>IF(C15=OITAVAS!C$24,IF(OITAVAS!E$24=E15,Pesos!$N$6,IF(F15=OITAVAS!F$24,Pesos!$N$3,0)),IF(F15=OITAVAS!F$24,Pesos!$N$3,0))*IF(COUNTIF(F$3:F$23,F15)=1,2,1)</f>
        <v>1</v>
      </c>
      <c r="H15" s="46">
        <f>VLOOKUP($B15,Form_Oitavas!$C$2:$AQ$60,7,FALSE)</f>
        <v>1</v>
      </c>
      <c r="I15" s="9" t="s">
        <v>98</v>
      </c>
      <c r="J15" s="46">
        <f>VLOOKUP($B15,Form_Oitavas!$C$2:$AQ$60,8,FALSE)</f>
        <v>1</v>
      </c>
      <c r="K15" s="47" t="str">
        <f t="shared" si="2"/>
        <v>empate</v>
      </c>
      <c r="L15" s="48">
        <f>IF(H15=OITAVAS!H$24,IF(OITAVAS!J$24=J15,Pesos!$N$6,IF(K15=OITAVAS!K$24,Pesos!$N$3,0)),IF(K15=OITAVAS!K$24,Pesos!$N$3,0))*IF(COUNTIF(K$3:K$23,K15)=1,2,1)</f>
        <v>0</v>
      </c>
      <c r="M15" s="46">
        <f>VLOOKUP($B15,Form_Oitavas!$C$2:$AQ$60,12,FALSE)</f>
        <v>3</v>
      </c>
      <c r="N15" s="9" t="s">
        <v>98</v>
      </c>
      <c r="O15" s="46">
        <f>VLOOKUP($B15,Form_Oitavas!$C$2:$AQ$60,13,FALSE)</f>
        <v>2</v>
      </c>
      <c r="P15" s="47" t="str">
        <f t="shared" si="3"/>
        <v>casa</v>
      </c>
      <c r="Q15" s="48">
        <f>IF(M15=OITAVAS!M$24,IF(OITAVAS!O$24=O15,Pesos!$N$6,IF(P15=OITAVAS!P$24,Pesos!$N$3,0)),IF(P15=OITAVAS!P$24,Pesos!$N$3,0))*IF(COUNTIF(P$3:P$23,P15)=1,2,1)</f>
        <v>1</v>
      </c>
      <c r="R15" s="46">
        <f>VLOOKUP($B15,Form_Oitavas!$C$2:$AQ$60,17,FALSE)</f>
        <v>1</v>
      </c>
      <c r="S15" s="9" t="s">
        <v>98</v>
      </c>
      <c r="T15" s="46">
        <f>VLOOKUP($B15,Form_Oitavas!$C$2:$AQ$60,18,FALSE)</f>
        <v>1</v>
      </c>
      <c r="U15" s="47" t="str">
        <f t="shared" si="4"/>
        <v>empate</v>
      </c>
      <c r="V15" s="48">
        <f>IF(R15=OITAVAS!R$24,IF(OITAVAS!T$24=T15,Pesos!$N$6,IF(U15=OITAVAS!U$24,Pesos!$N$3,0)),IF(U15=OITAVAS!U$24,Pesos!$N$3,0))*IF(COUNTIF(U$3:U$23,U15)=1,2,1)</f>
        <v>0</v>
      </c>
      <c r="W15" s="46">
        <f>VLOOKUP($B15,Form_Oitavas!$C$2:$AQ$60,22,FALSE)</f>
        <v>1</v>
      </c>
      <c r="X15" s="9" t="s">
        <v>98</v>
      </c>
      <c r="Y15" s="46">
        <f>VLOOKUP($B15,Form_Oitavas!$C$2:$AQ$60,23,FALSE)</f>
        <v>1</v>
      </c>
      <c r="Z15" s="47" t="str">
        <f t="shared" si="5"/>
        <v>empate</v>
      </c>
      <c r="AA15" s="48">
        <f>IF(W15=OITAVAS!W$24,IF(OITAVAS!Y$24=Y15,Pesos!$N$6,IF(Z15=OITAVAS!Z$24,Pesos!$N$3,0)),IF(Z15=OITAVAS!Z$24,Pesos!$N$3,0))*IF(COUNTIF(Z$3:Z$23,Z15)=1,2,1)</f>
        <v>6</v>
      </c>
      <c r="AB15" s="46">
        <f>VLOOKUP($B15,Form_Oitavas!$C$2:$AQ$60,27,FALSE)</f>
        <v>2</v>
      </c>
      <c r="AC15" s="9" t="s">
        <v>98</v>
      </c>
      <c r="AD15" s="46">
        <f>VLOOKUP($B15,Form_Oitavas!$C$2:$AQ$60,28,FALSE)</f>
        <v>1</v>
      </c>
      <c r="AE15" s="47" t="str">
        <f t="shared" si="6"/>
        <v>casa</v>
      </c>
      <c r="AF15" s="48">
        <f>IF(AB15=OITAVAS!AB$24,IF(OITAVAS!AD$24=AD15,Pesos!$N$6,IF(AE15=OITAVAS!AE$24,Pesos!$N$3,0)),IF(AE15=OITAVAS!AE$24,Pesos!$N$3,0))*IF(COUNTIF(AE$3:AE$23,AE15)=1,2,1)</f>
        <v>1</v>
      </c>
      <c r="AG15" s="46">
        <f>VLOOKUP($B15,Form_Oitavas!$C$2:$AQ$60,32,FALSE)</f>
        <v>2</v>
      </c>
      <c r="AH15" s="9" t="s">
        <v>98</v>
      </c>
      <c r="AI15" s="46">
        <f>VLOOKUP($B15,Form_Oitavas!$C$2:$AQ$60,33,FALSE)</f>
        <v>2</v>
      </c>
      <c r="AJ15" s="47" t="str">
        <f t="shared" si="7"/>
        <v>empate</v>
      </c>
      <c r="AK15" s="48">
        <f>IF(AG15=OITAVAS!AG$24,IF(OITAVAS!AI$24=AI15,Pesos!$N$6,IF(AJ15=OITAVAS!AJ$24,Pesos!$N$3,0)),IF(AJ15=OITAVAS!AJ$24,Pesos!$N$3,0))*IF(COUNTIF(AJ$3:AJ$23,AJ15)=1,2,1)</f>
        <v>0</v>
      </c>
      <c r="AL15" s="46">
        <f>VLOOKUP($B15,Form_Oitavas!$C$2:$AQ$60,37,FALSE)</f>
        <v>0</v>
      </c>
      <c r="AM15" s="9" t="s">
        <v>98</v>
      </c>
      <c r="AN15" s="46">
        <f>VLOOKUP($B15,Form_Oitavas!$C$2:$AQ$60,38,FALSE)</f>
        <v>0</v>
      </c>
      <c r="AO15" s="47" t="str">
        <f t="shared" si="8"/>
        <v>empate</v>
      </c>
      <c r="AP15" s="48">
        <f>IF(AL15=OITAVAS!AL$24,IF(OITAVAS!AN$24=AN15,Pesos!$N$6,IF(AO15=OITAVAS!AO$24,Pesos!$N$3,0)),IF(AO15=OITAVAS!AO$24,Pesos!$N$3,0))*IF(COUNTIF(AO$3:AO$23,AO15)=1,2,1)</f>
        <v>1</v>
      </c>
      <c r="AQ15" s="41"/>
      <c r="AR15" s="41">
        <f t="shared" si="9"/>
        <v>5</v>
      </c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</row>
    <row r="16" ht="14.25" customHeight="1">
      <c r="A16" s="40"/>
      <c r="B16" s="51" t="s">
        <v>8</v>
      </c>
      <c r="C16" s="46">
        <f>VLOOKUP($B16,Form_Oitavas!$C$2:$AQ$60,2,FALSE)</f>
        <v>2</v>
      </c>
      <c r="D16" s="9" t="s">
        <v>98</v>
      </c>
      <c r="E16" s="46">
        <f>VLOOKUP($B16,Form_Oitavas!$C$2:$AQ$60,3,FALSE)</f>
        <v>2</v>
      </c>
      <c r="F16" s="47" t="str">
        <f t="shared" si="1"/>
        <v>empate</v>
      </c>
      <c r="G16" s="48">
        <f>IF(C16=OITAVAS!C$24,IF(OITAVAS!E$24=E16,Pesos!$N$6,IF(F16=OITAVAS!F$24,Pesos!$N$3,0)),IF(F16=OITAVAS!F$24,Pesos!$N$3,0))*IF(COUNTIF(F$3:F$23,F16)=1,2,1)</f>
        <v>0</v>
      </c>
      <c r="H16" s="46">
        <f>VLOOKUP($B16,Form_Oitavas!$C$2:$AQ$60,7,FALSE)</f>
        <v>2</v>
      </c>
      <c r="I16" s="9" t="s">
        <v>98</v>
      </c>
      <c r="J16" s="46">
        <f>VLOOKUP($B16,Form_Oitavas!$C$2:$AQ$60,8,FALSE)</f>
        <v>1</v>
      </c>
      <c r="K16" s="47" t="str">
        <f t="shared" si="2"/>
        <v>casa</v>
      </c>
      <c r="L16" s="48">
        <f>IF(H16=OITAVAS!H$24,IF(OITAVAS!J$24=J16,Pesos!$N$6,IF(K16=OITAVAS!K$24,Pesos!$N$3,0)),IF(K16=OITAVAS!K$24,Pesos!$N$3,0))*IF(COUNTIF(K$3:K$23,K16)=1,2,1)</f>
        <v>1</v>
      </c>
      <c r="M16" s="46">
        <f>VLOOKUP($B16,Form_Oitavas!$C$2:$AQ$60,12,FALSE)</f>
        <v>2</v>
      </c>
      <c r="N16" s="9" t="s">
        <v>98</v>
      </c>
      <c r="O16" s="46">
        <f>VLOOKUP($B16,Form_Oitavas!$C$2:$AQ$60,13,FALSE)</f>
        <v>1</v>
      </c>
      <c r="P16" s="47" t="str">
        <f t="shared" si="3"/>
        <v>casa</v>
      </c>
      <c r="Q16" s="48">
        <f>IF(M16=OITAVAS!M$24,IF(OITAVAS!O$24=O16,Pesos!$N$6,IF(P16=OITAVAS!P$24,Pesos!$N$3,0)),IF(P16=OITAVAS!P$24,Pesos!$N$3,0))*IF(COUNTIF(P$3:P$23,P16)=1,2,1)</f>
        <v>1</v>
      </c>
      <c r="R16" s="46">
        <f>VLOOKUP($B16,Form_Oitavas!$C$2:$AQ$60,17,FALSE)</f>
        <v>1</v>
      </c>
      <c r="S16" s="9" t="s">
        <v>98</v>
      </c>
      <c r="T16" s="46">
        <f>VLOOKUP($B16,Form_Oitavas!$C$2:$AQ$60,18,FALSE)</f>
        <v>2</v>
      </c>
      <c r="U16" s="47" t="str">
        <f t="shared" si="4"/>
        <v>visita</v>
      </c>
      <c r="V16" s="48">
        <f>IF(R16=OITAVAS!R$24,IF(OITAVAS!T$24=T16,Pesos!$N$6,IF(U16=OITAVAS!U$24,Pesos!$N$3,0)),IF(U16=OITAVAS!U$24,Pesos!$N$3,0))*IF(COUNTIF(U$3:U$23,U16)=1,2,1)</f>
        <v>1</v>
      </c>
      <c r="W16" s="46">
        <f>VLOOKUP($B16,Form_Oitavas!$C$2:$AQ$60,22,FALSE)</f>
        <v>2</v>
      </c>
      <c r="X16" s="9" t="s">
        <v>98</v>
      </c>
      <c r="Y16" s="46">
        <f>VLOOKUP($B16,Form_Oitavas!$C$2:$AQ$60,23,FALSE)</f>
        <v>1</v>
      </c>
      <c r="Z16" s="47" t="str">
        <f t="shared" si="5"/>
        <v>casa</v>
      </c>
      <c r="AA16" s="48">
        <f>IF(W16=OITAVAS!W$24,IF(OITAVAS!Y$24=Y16,Pesos!$N$6,IF(Z16=OITAVAS!Z$24,Pesos!$N$3,0)),IF(Z16=OITAVAS!Z$24,Pesos!$N$3,0))*IF(COUNTIF(Z$3:Z$23,Z16)=1,2,1)</f>
        <v>0</v>
      </c>
      <c r="AB16" s="46">
        <f>VLOOKUP($B16,Form_Oitavas!$C$2:$AQ$60,27,FALSE)</f>
        <v>1</v>
      </c>
      <c r="AC16" s="9" t="s">
        <v>98</v>
      </c>
      <c r="AD16" s="46">
        <f>VLOOKUP($B16,Form_Oitavas!$C$2:$AQ$60,28,FALSE)</f>
        <v>2</v>
      </c>
      <c r="AE16" s="47" t="str">
        <f t="shared" si="6"/>
        <v>visita</v>
      </c>
      <c r="AF16" s="48">
        <f>IF(AB16=OITAVAS!AB$24,IF(OITAVAS!AD$24=AD16,Pesos!$N$6,IF(AE16=OITAVAS!AE$24,Pesos!$N$3,0)),IF(AE16=OITAVAS!AE$24,Pesos!$N$3,0))*IF(COUNTIF(AE$3:AE$23,AE16)=1,2,1)</f>
        <v>0</v>
      </c>
      <c r="AG16" s="46">
        <f>VLOOKUP($B16,Form_Oitavas!$C$2:$AQ$60,32,FALSE)</f>
        <v>2</v>
      </c>
      <c r="AH16" s="9" t="s">
        <v>98</v>
      </c>
      <c r="AI16" s="46">
        <f>VLOOKUP($B16,Form_Oitavas!$C$2:$AQ$60,33,FALSE)</f>
        <v>1</v>
      </c>
      <c r="AJ16" s="47" t="str">
        <f t="shared" si="7"/>
        <v>casa</v>
      </c>
      <c r="AK16" s="48">
        <f>IF(AG16=OITAVAS!AG$24,IF(OITAVAS!AI$24=AI16,Pesos!$N$6,IF(AJ16=OITAVAS!AJ$24,Pesos!$N$3,0)),IF(AJ16=OITAVAS!AJ$24,Pesos!$N$3,0))*IF(COUNTIF(AJ$3:AJ$23,AJ16)=1,2,1)</f>
        <v>1</v>
      </c>
      <c r="AL16" s="46">
        <f>VLOOKUP($B16,Form_Oitavas!$C$2:$AQ$60,37,FALSE)</f>
        <v>1</v>
      </c>
      <c r="AM16" s="9" t="s">
        <v>98</v>
      </c>
      <c r="AN16" s="46">
        <f>VLOOKUP($B16,Form_Oitavas!$C$2:$AQ$60,38,FALSE)</f>
        <v>2</v>
      </c>
      <c r="AO16" s="47" t="str">
        <f t="shared" si="8"/>
        <v>visita</v>
      </c>
      <c r="AP16" s="48">
        <f>IF(AL16=OITAVAS!AL$24,IF(OITAVAS!AN$24=AN16,Pesos!$N$6,IF(AO16=OITAVAS!AO$24,Pesos!$N$3,0)),IF(AO16=OITAVAS!AO$24,Pesos!$N$3,0))*IF(COUNTIF(AO$3:AO$23,AO16)=1,2,1)</f>
        <v>0</v>
      </c>
      <c r="AQ16" s="41"/>
      <c r="AR16" s="41">
        <f t="shared" si="9"/>
        <v>4</v>
      </c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</row>
    <row r="17" ht="14.25" customHeight="1">
      <c r="A17" s="40"/>
      <c r="B17" s="51" t="s">
        <v>16</v>
      </c>
      <c r="C17" s="46">
        <f>VLOOKUP($B17,Form_Oitavas!$C$2:$AQ$60,2,FALSE)</f>
        <v>2</v>
      </c>
      <c r="D17" s="9" t="s">
        <v>98</v>
      </c>
      <c r="E17" s="46">
        <f>VLOOKUP($B17,Form_Oitavas!$C$2:$AQ$60,3,FALSE)</f>
        <v>1</v>
      </c>
      <c r="F17" s="47" t="str">
        <f t="shared" si="1"/>
        <v>casa</v>
      </c>
      <c r="G17" s="48">
        <f>IF(C17=OITAVAS!C$24,IF(OITAVAS!E$24=E17,Pesos!$N$6,IF(F17=OITAVAS!F$24,Pesos!$N$3,0)),IF(F17=OITAVAS!F$24,Pesos!$N$3,0))*IF(COUNTIF(F$3:F$23,F17)=1,2,1)</f>
        <v>1</v>
      </c>
      <c r="H17" s="46">
        <f>VLOOKUP($B17,Form_Oitavas!$C$2:$AQ$60,7,FALSE)</f>
        <v>1</v>
      </c>
      <c r="I17" s="9" t="s">
        <v>98</v>
      </c>
      <c r="J17" s="46">
        <f>VLOOKUP($B17,Form_Oitavas!$C$2:$AQ$60,8,FALSE)</f>
        <v>1</v>
      </c>
      <c r="K17" s="47" t="str">
        <f t="shared" si="2"/>
        <v>empate</v>
      </c>
      <c r="L17" s="48">
        <f>IF(H17=OITAVAS!H$24,IF(OITAVAS!J$24=J17,Pesos!$N$6,IF(K17=OITAVAS!K$24,Pesos!$N$3,0)),IF(K17=OITAVAS!K$24,Pesos!$N$3,0))*IF(COUNTIF(K$3:K$23,K17)=1,2,1)</f>
        <v>0</v>
      </c>
      <c r="M17" s="46">
        <f>VLOOKUP($B17,Form_Oitavas!$C$2:$AQ$60,12,FALSE)</f>
        <v>2</v>
      </c>
      <c r="N17" s="9" t="s">
        <v>98</v>
      </c>
      <c r="O17" s="46">
        <f>VLOOKUP($B17,Form_Oitavas!$C$2:$AQ$60,13,FALSE)</f>
        <v>2</v>
      </c>
      <c r="P17" s="47" t="str">
        <f t="shared" si="3"/>
        <v>empate</v>
      </c>
      <c r="Q17" s="48">
        <f>IF(M17=OITAVAS!M$24,IF(OITAVAS!O$24=O17,Pesos!$N$6,IF(P17=OITAVAS!P$24,Pesos!$N$3,0)),IF(P17=OITAVAS!P$24,Pesos!$N$3,0))*IF(COUNTIF(P$3:P$23,P17)=1,2,1)</f>
        <v>0</v>
      </c>
      <c r="R17" s="46">
        <f>VLOOKUP($B17,Form_Oitavas!$C$2:$AQ$60,17,FALSE)</f>
        <v>0</v>
      </c>
      <c r="S17" s="9" t="s">
        <v>98</v>
      </c>
      <c r="T17" s="46">
        <f>VLOOKUP($B17,Form_Oitavas!$C$2:$AQ$60,18,FALSE)</f>
        <v>2</v>
      </c>
      <c r="U17" s="47" t="str">
        <f t="shared" si="4"/>
        <v>visita</v>
      </c>
      <c r="V17" s="48">
        <f>IF(R17=OITAVAS!R$24,IF(OITAVAS!T$24=T17,Pesos!$N$6,IF(U17=OITAVAS!U$24,Pesos!$N$3,0)),IF(U17=OITAVAS!U$24,Pesos!$N$3,0))*IF(COUNTIF(U$3:U$23,U17)=1,2,1)</f>
        <v>1</v>
      </c>
      <c r="W17" s="46">
        <f>VLOOKUP($B17,Form_Oitavas!$C$2:$AQ$60,22,FALSE)</f>
        <v>1</v>
      </c>
      <c r="X17" s="9" t="s">
        <v>98</v>
      </c>
      <c r="Y17" s="46">
        <f>VLOOKUP($B17,Form_Oitavas!$C$2:$AQ$60,23,FALSE)</f>
        <v>1</v>
      </c>
      <c r="Z17" s="47" t="str">
        <f t="shared" si="5"/>
        <v>empate</v>
      </c>
      <c r="AA17" s="48">
        <f>IF(W17=OITAVAS!W$24,IF(OITAVAS!Y$24=Y17,Pesos!$N$6,IF(Z17=OITAVAS!Z$24,Pesos!$N$3,0)),IF(Z17=OITAVAS!Z$24,Pesos!$N$3,0))*IF(COUNTIF(Z$3:Z$23,Z17)=1,2,1)</f>
        <v>6</v>
      </c>
      <c r="AB17" s="46">
        <f>VLOOKUP($B17,Form_Oitavas!$C$2:$AQ$60,27,FALSE)</f>
        <v>2</v>
      </c>
      <c r="AC17" s="9" t="s">
        <v>98</v>
      </c>
      <c r="AD17" s="46">
        <f>VLOOKUP($B17,Form_Oitavas!$C$2:$AQ$60,28,FALSE)</f>
        <v>0</v>
      </c>
      <c r="AE17" s="47" t="str">
        <f t="shared" si="6"/>
        <v>casa</v>
      </c>
      <c r="AF17" s="48">
        <f>IF(AB17=OITAVAS!AB$24,IF(OITAVAS!AD$24=AD17,Pesos!$N$6,IF(AE17=OITAVAS!AE$24,Pesos!$N$3,0)),IF(AE17=OITAVAS!AE$24,Pesos!$N$3,0))*IF(COUNTIF(AE$3:AE$23,AE17)=1,2,1)</f>
        <v>1</v>
      </c>
      <c r="AG17" s="46">
        <f>VLOOKUP($B17,Form_Oitavas!$C$2:$AQ$60,32,FALSE)</f>
        <v>2</v>
      </c>
      <c r="AH17" s="9" t="s">
        <v>98</v>
      </c>
      <c r="AI17" s="46">
        <f>VLOOKUP($B17,Form_Oitavas!$C$2:$AQ$60,33,FALSE)</f>
        <v>0</v>
      </c>
      <c r="AJ17" s="47" t="str">
        <f t="shared" si="7"/>
        <v>casa</v>
      </c>
      <c r="AK17" s="48">
        <f>IF(AG17=OITAVAS!AG$24,IF(OITAVAS!AI$24=AI17,Pesos!$N$6,IF(AJ17=OITAVAS!AJ$24,Pesos!$N$3,0)),IF(AJ17=OITAVAS!AJ$24,Pesos!$N$3,0))*IF(COUNTIF(AJ$3:AJ$23,AJ17)=1,2,1)</f>
        <v>1</v>
      </c>
      <c r="AL17" s="46">
        <f>VLOOKUP($B17,Form_Oitavas!$C$2:$AQ$60,37,FALSE)</f>
        <v>0</v>
      </c>
      <c r="AM17" s="9" t="s">
        <v>98</v>
      </c>
      <c r="AN17" s="46">
        <f>VLOOKUP($B17,Form_Oitavas!$C$2:$AQ$60,38,FALSE)</f>
        <v>1</v>
      </c>
      <c r="AO17" s="47" t="str">
        <f t="shared" si="8"/>
        <v>visita</v>
      </c>
      <c r="AP17" s="48">
        <f>IF(AL17=OITAVAS!AL$24,IF(OITAVAS!AN$24=AN17,Pesos!$N$6,IF(AO17=OITAVAS!AO$24,Pesos!$N$3,0)),IF(AO17=OITAVAS!AO$24,Pesos!$N$3,0))*IF(COUNTIF(AO$3:AO$23,AO17)=1,2,1)</f>
        <v>0</v>
      </c>
      <c r="AQ17" s="41"/>
      <c r="AR17" s="41">
        <f t="shared" si="9"/>
        <v>5</v>
      </c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</row>
    <row r="18" ht="14.25" customHeight="1">
      <c r="A18" s="40"/>
      <c r="B18" s="51" t="s">
        <v>11</v>
      </c>
      <c r="C18" s="46">
        <f>VLOOKUP($B18,Form_Oitavas!$C$2:$AQ$60,2,FALSE)</f>
        <v>2</v>
      </c>
      <c r="D18" s="9" t="s">
        <v>98</v>
      </c>
      <c r="E18" s="46">
        <f>VLOOKUP($B18,Form_Oitavas!$C$2:$AQ$60,3,FALSE)</f>
        <v>3</v>
      </c>
      <c r="F18" s="47" t="str">
        <f t="shared" si="1"/>
        <v>visita</v>
      </c>
      <c r="G18" s="48">
        <f>IF(C18=OITAVAS!C$24,IF(OITAVAS!E$24=E18,Pesos!$N$6,IF(F18=OITAVAS!F$24,Pesos!$N$3,0)),IF(F18=OITAVAS!F$24,Pesos!$N$3,0))*IF(COUNTIF(F$3:F$23,F18)=1,2,1)</f>
        <v>0</v>
      </c>
      <c r="H18" s="46">
        <f>VLOOKUP($B18,Form_Oitavas!$C$2:$AQ$60,7,FALSE)</f>
        <v>1</v>
      </c>
      <c r="I18" s="9" t="s">
        <v>98</v>
      </c>
      <c r="J18" s="46">
        <f>VLOOKUP($B18,Form_Oitavas!$C$2:$AQ$60,8,FALSE)</f>
        <v>2</v>
      </c>
      <c r="K18" s="47" t="str">
        <f t="shared" si="2"/>
        <v>visita</v>
      </c>
      <c r="L18" s="48">
        <f>IF(H18=OITAVAS!H$24,IF(OITAVAS!J$24=J18,Pesos!$N$6,IF(K18=OITAVAS!K$24,Pesos!$N$3,0)),IF(K18=OITAVAS!K$24,Pesos!$N$3,0))*IF(COUNTIF(K$3:K$23,K18)=1,2,1)</f>
        <v>0</v>
      </c>
      <c r="M18" s="46">
        <f>VLOOKUP($B18,Form_Oitavas!$C$2:$AQ$60,12,FALSE)</f>
        <v>1</v>
      </c>
      <c r="N18" s="9" t="s">
        <v>98</v>
      </c>
      <c r="O18" s="46">
        <f>VLOOKUP($B18,Form_Oitavas!$C$2:$AQ$60,13,FALSE)</f>
        <v>1</v>
      </c>
      <c r="P18" s="47" t="str">
        <f t="shared" si="3"/>
        <v>empate</v>
      </c>
      <c r="Q18" s="48">
        <f>IF(M18=OITAVAS!M$24,IF(OITAVAS!O$24=O18,Pesos!$N$6,IF(P18=OITAVAS!P$24,Pesos!$N$3,0)),IF(P18=OITAVAS!P$24,Pesos!$N$3,0))*IF(COUNTIF(P$3:P$23,P18)=1,2,1)</f>
        <v>0</v>
      </c>
      <c r="R18" s="46">
        <f>VLOOKUP($B18,Form_Oitavas!$C$2:$AQ$60,17,FALSE)</f>
        <v>1</v>
      </c>
      <c r="S18" s="9" t="s">
        <v>98</v>
      </c>
      <c r="T18" s="46">
        <f>VLOOKUP($B18,Form_Oitavas!$C$2:$AQ$60,18,FALSE)</f>
        <v>0</v>
      </c>
      <c r="U18" s="47" t="str">
        <f t="shared" si="4"/>
        <v>casa</v>
      </c>
      <c r="V18" s="48">
        <f>IF(R18=OITAVAS!R$24,IF(OITAVAS!T$24=T18,Pesos!$N$6,IF(U18=OITAVAS!U$24,Pesos!$N$3,0)),IF(U18=OITAVAS!U$24,Pesos!$N$3,0))*IF(COUNTIF(U$3:U$23,U18)=1,2,1)</f>
        <v>0</v>
      </c>
      <c r="W18" s="46">
        <f>VLOOKUP($B18,Form_Oitavas!$C$2:$AQ$60,22,FALSE)</f>
        <v>1</v>
      </c>
      <c r="X18" s="46" t="s">
        <v>98</v>
      </c>
      <c r="Y18" s="46">
        <f>VLOOKUP($B18,Form_Oitavas!$C$2:$AQ$60,23,FALSE)</f>
        <v>3</v>
      </c>
      <c r="Z18" s="47" t="str">
        <f t="shared" si="5"/>
        <v>visita</v>
      </c>
      <c r="AA18" s="48">
        <f>IF(W18=OITAVAS!W$24,IF(OITAVAS!Y$24=Y18,Pesos!$N$6,IF(Z18=OITAVAS!Z$24,Pesos!$N$3,0)),IF(Z18=OITAVAS!Z$24,Pesos!$N$3,0))*IF(COUNTIF(Z$3:Z$23,Z18)=1,2,1)</f>
        <v>0</v>
      </c>
      <c r="AB18" s="46">
        <f>VLOOKUP($B18,Form_Oitavas!$C$2:$AQ$60,27,FALSE)</f>
        <v>1</v>
      </c>
      <c r="AC18" s="9" t="s">
        <v>98</v>
      </c>
      <c r="AD18" s="46">
        <f>VLOOKUP($B18,Form_Oitavas!$C$2:$AQ$60,28,FALSE)</f>
        <v>2</v>
      </c>
      <c r="AE18" s="47" t="str">
        <f t="shared" si="6"/>
        <v>visita</v>
      </c>
      <c r="AF18" s="48">
        <f>IF(AB18=OITAVAS!AB$24,IF(OITAVAS!AD$24=AD18,Pesos!$N$6,IF(AE18=OITAVAS!AE$24,Pesos!$N$3,0)),IF(AE18=OITAVAS!AE$24,Pesos!$N$3,0))*IF(COUNTIF(AE$3:AE$23,AE18)=1,2,1)</f>
        <v>0</v>
      </c>
      <c r="AG18" s="46">
        <f>VLOOKUP($B18,Form_Oitavas!$C$2:$AQ$60,32,FALSE)</f>
        <v>1</v>
      </c>
      <c r="AH18" s="9" t="s">
        <v>98</v>
      </c>
      <c r="AI18" s="46">
        <f>VLOOKUP($B18,Form_Oitavas!$C$2:$AQ$60,33,FALSE)</f>
        <v>0</v>
      </c>
      <c r="AJ18" s="47" t="str">
        <f t="shared" si="7"/>
        <v>casa</v>
      </c>
      <c r="AK18" s="48">
        <f>IF(AG18=OITAVAS!AG$24,IF(OITAVAS!AI$24=AI18,Pesos!$N$6,IF(AJ18=OITAVAS!AJ$24,Pesos!$N$3,0)),IF(AJ18=OITAVAS!AJ$24,Pesos!$N$3,0))*IF(COUNTIF(AJ$3:AJ$23,AJ18)=1,2,1)</f>
        <v>1</v>
      </c>
      <c r="AL18" s="46">
        <f>VLOOKUP($B18,Form_Oitavas!$C$2:$AQ$60,37,FALSE)</f>
        <v>1</v>
      </c>
      <c r="AM18" s="9" t="s">
        <v>98</v>
      </c>
      <c r="AN18" s="46">
        <f>VLOOKUP($B18,Form_Oitavas!$C$2:$AQ$60,38,FALSE)</f>
        <v>1</v>
      </c>
      <c r="AO18" s="47" t="str">
        <f t="shared" si="8"/>
        <v>empate</v>
      </c>
      <c r="AP18" s="48">
        <f>IF(AL18=OITAVAS!AL$24,IF(OITAVAS!AN$24=AN18,Pesos!$N$6,IF(AO18=OITAVAS!AO$24,Pesos!$N$3,0)),IF(AO18=OITAVAS!AO$24,Pesos!$N$3,0))*IF(COUNTIF(AO$3:AO$23,AO18)=1,2,1)</f>
        <v>6</v>
      </c>
      <c r="AQ18" s="41"/>
      <c r="AR18" s="41">
        <f t="shared" si="9"/>
        <v>2</v>
      </c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</row>
    <row r="19" ht="14.25" customHeight="1">
      <c r="A19" s="40"/>
      <c r="B19" s="51" t="s">
        <v>7</v>
      </c>
      <c r="C19" s="46">
        <f>VLOOKUP($B19,Form_Oitavas!$C$2:$AQ$60,2,FALSE)</f>
        <v>2</v>
      </c>
      <c r="D19" s="9" t="s">
        <v>98</v>
      </c>
      <c r="E19" s="46">
        <f>VLOOKUP($B19,Form_Oitavas!$C$2:$AQ$60,3,FALSE)</f>
        <v>3</v>
      </c>
      <c r="F19" s="47" t="str">
        <f t="shared" si="1"/>
        <v>visita</v>
      </c>
      <c r="G19" s="48">
        <f>IF(C19=OITAVAS!C$24,IF(OITAVAS!E$24=E19,Pesos!$N$6,IF(F19=OITAVAS!F$24,Pesos!$N$3,0)),IF(F19=OITAVAS!F$24,Pesos!$N$3,0))*IF(COUNTIF(F$3:F$23,F19)=1,2,1)</f>
        <v>0</v>
      </c>
      <c r="H19" s="46">
        <f>VLOOKUP($B19,Form_Oitavas!$C$2:$AQ$60,7,FALSE)</f>
        <v>1</v>
      </c>
      <c r="I19" s="9" t="s">
        <v>98</v>
      </c>
      <c r="J19" s="46">
        <f>VLOOKUP($B19,Form_Oitavas!$C$2:$AQ$60,8,FALSE)</f>
        <v>1</v>
      </c>
      <c r="K19" s="47" t="str">
        <f t="shared" si="2"/>
        <v>empate</v>
      </c>
      <c r="L19" s="48">
        <f>IF(H19=OITAVAS!H$24,IF(OITAVAS!J$24=J19,Pesos!$N$6,IF(K19=OITAVAS!K$24,Pesos!$N$3,0)),IF(K19=OITAVAS!K$24,Pesos!$N$3,0))*IF(COUNTIF(K$3:K$23,K19)=1,2,1)</f>
        <v>0</v>
      </c>
      <c r="M19" s="46">
        <f>VLOOKUP($B19,Form_Oitavas!$C$2:$AQ$60,12,FALSE)</f>
        <v>2</v>
      </c>
      <c r="N19" s="9" t="s">
        <v>98</v>
      </c>
      <c r="O19" s="46">
        <f>VLOOKUP($B19,Form_Oitavas!$C$2:$AQ$60,13,FALSE)</f>
        <v>2</v>
      </c>
      <c r="P19" s="47" t="str">
        <f t="shared" si="3"/>
        <v>empate</v>
      </c>
      <c r="Q19" s="48">
        <f>IF(M19=OITAVAS!M$24,IF(OITAVAS!O$24=O19,Pesos!$N$6,IF(P19=OITAVAS!P$24,Pesos!$N$3,0)),IF(P19=OITAVAS!P$24,Pesos!$N$3,0))*IF(COUNTIF(P$3:P$23,P19)=1,2,1)</f>
        <v>0</v>
      </c>
      <c r="R19" s="46">
        <f>VLOOKUP($B19,Form_Oitavas!$C$2:$AQ$60,17,FALSE)</f>
        <v>0</v>
      </c>
      <c r="S19" s="9" t="s">
        <v>98</v>
      </c>
      <c r="T19" s="46">
        <f>VLOOKUP($B19,Form_Oitavas!$C$2:$AQ$60,18,FALSE)</f>
        <v>2</v>
      </c>
      <c r="U19" s="47" t="str">
        <f t="shared" si="4"/>
        <v>visita</v>
      </c>
      <c r="V19" s="48">
        <f>IF(R19=OITAVAS!R$24,IF(OITAVAS!T$24=T19,Pesos!$N$6,IF(U19=OITAVAS!U$24,Pesos!$N$3,0)),IF(U19=OITAVAS!U$24,Pesos!$N$3,0))*IF(COUNTIF(U$3:U$23,U19)=1,2,1)</f>
        <v>1</v>
      </c>
      <c r="W19" s="46">
        <f>VLOOKUP($B19,Form_Oitavas!$C$2:$AQ$60,22,FALSE)</f>
        <v>1</v>
      </c>
      <c r="X19" s="9" t="s">
        <v>98</v>
      </c>
      <c r="Y19" s="46">
        <f>VLOOKUP($B19,Form_Oitavas!$C$2:$AQ$60,23,FALSE)</f>
        <v>3</v>
      </c>
      <c r="Z19" s="47" t="str">
        <f t="shared" si="5"/>
        <v>visita</v>
      </c>
      <c r="AA19" s="48">
        <f>IF(W19=OITAVAS!W$24,IF(OITAVAS!Y$24=Y19,Pesos!$N$6,IF(Z19=OITAVAS!Z$24,Pesos!$N$3,0)),IF(Z19=OITAVAS!Z$24,Pesos!$N$3,0))*IF(COUNTIF(Z$3:Z$23,Z19)=1,2,1)</f>
        <v>0</v>
      </c>
      <c r="AB19" s="46">
        <f>VLOOKUP($B19,Form_Oitavas!$C$2:$AQ$60,27,FALSE)</f>
        <v>1</v>
      </c>
      <c r="AC19" s="9" t="s">
        <v>98</v>
      </c>
      <c r="AD19" s="46">
        <f>VLOOKUP($B19,Form_Oitavas!$C$2:$AQ$60,28,FALSE)</f>
        <v>0</v>
      </c>
      <c r="AE19" s="47" t="str">
        <f t="shared" si="6"/>
        <v>casa</v>
      </c>
      <c r="AF19" s="48">
        <f>IF(AB19=OITAVAS!AB$24,IF(OITAVAS!AD$24=AD19,Pesos!$N$6,IF(AE19=OITAVAS!AE$24,Pesos!$N$3,0)),IF(AE19=OITAVAS!AE$24,Pesos!$N$3,0))*IF(COUNTIF(AE$3:AE$23,AE19)=1,2,1)</f>
        <v>1</v>
      </c>
      <c r="AG19" s="46">
        <f>VLOOKUP($B19,Form_Oitavas!$C$2:$AQ$60,32,FALSE)</f>
        <v>2</v>
      </c>
      <c r="AH19" s="9" t="s">
        <v>98</v>
      </c>
      <c r="AI19" s="46">
        <f>VLOOKUP($B19,Form_Oitavas!$C$2:$AQ$60,33,FALSE)</f>
        <v>2</v>
      </c>
      <c r="AJ19" s="47" t="str">
        <f t="shared" si="7"/>
        <v>empate</v>
      </c>
      <c r="AK19" s="48">
        <f>IF(AG19=OITAVAS!AG$24,IF(OITAVAS!AI$24=AI19,Pesos!$N$6,IF(AJ19=OITAVAS!AJ$24,Pesos!$N$3,0)),IF(AJ19=OITAVAS!AJ$24,Pesos!$N$3,0))*IF(COUNTIF(AJ$3:AJ$23,AJ19)=1,2,1)</f>
        <v>0</v>
      </c>
      <c r="AL19" s="46">
        <f>VLOOKUP($B19,Form_Oitavas!$C$2:$AQ$60,37,FALSE)</f>
        <v>2</v>
      </c>
      <c r="AM19" s="9" t="s">
        <v>98</v>
      </c>
      <c r="AN19" s="46">
        <f>VLOOKUP($B19,Form_Oitavas!$C$2:$AQ$60,38,FALSE)</f>
        <v>2</v>
      </c>
      <c r="AO19" s="47" t="str">
        <f t="shared" si="8"/>
        <v>empate</v>
      </c>
      <c r="AP19" s="48">
        <f>IF(AL19=OITAVAS!AL$24,IF(OITAVAS!AN$24=AN19,Pesos!$N$6,IF(AO19=OITAVAS!AO$24,Pesos!$N$3,0)),IF(AO19=OITAVAS!AO$24,Pesos!$N$3,0))*IF(COUNTIF(AO$3:AO$23,AO19)=1,2,1)</f>
        <v>1</v>
      </c>
      <c r="AQ19" s="41"/>
      <c r="AR19" s="41">
        <f t="shared" si="9"/>
        <v>3</v>
      </c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</row>
    <row r="20" ht="14.25" customHeight="1">
      <c r="A20" s="40"/>
      <c r="B20" s="51" t="s">
        <v>19</v>
      </c>
      <c r="C20" s="46">
        <f>VLOOKUP($B20,Form_Oitavas!$C$2:$AQ$60,2,FALSE)</f>
        <v>2</v>
      </c>
      <c r="D20" s="9" t="s">
        <v>98</v>
      </c>
      <c r="E20" s="46">
        <f>VLOOKUP($B20,Form_Oitavas!$C$2:$AQ$60,3,FALSE)</f>
        <v>1</v>
      </c>
      <c r="F20" s="47" t="str">
        <f t="shared" si="1"/>
        <v>casa</v>
      </c>
      <c r="G20" s="48">
        <f>IF(C20=OITAVAS!C$24,IF(OITAVAS!E$24=E20,Pesos!$N$6,IF(F20=OITAVAS!F$24,Pesos!$N$3,0)),IF(F20=OITAVAS!F$24,Pesos!$N$3,0))*IF(COUNTIF(F$3:F$23,F20)=1,2,1)</f>
        <v>1</v>
      </c>
      <c r="H20" s="46">
        <f>VLOOKUP($B20,Form_Oitavas!$C$2:$AQ$60,7,FALSE)</f>
        <v>1</v>
      </c>
      <c r="I20" s="9" t="s">
        <v>98</v>
      </c>
      <c r="J20" s="46">
        <f>VLOOKUP($B20,Form_Oitavas!$C$2:$AQ$60,8,FALSE)</f>
        <v>3</v>
      </c>
      <c r="K20" s="47" t="str">
        <f t="shared" si="2"/>
        <v>visita</v>
      </c>
      <c r="L20" s="48">
        <f>IF(H20=OITAVAS!H$24,IF(OITAVAS!J$24=J20,Pesos!$N$6,IF(K20=OITAVAS!K$24,Pesos!$N$3,0)),IF(K20=OITAVAS!K$24,Pesos!$N$3,0))*IF(COUNTIF(K$3:K$23,K20)=1,2,1)</f>
        <v>0</v>
      </c>
      <c r="M20" s="46">
        <f>VLOOKUP($B20,Form_Oitavas!$C$2:$AQ$60,12,FALSE)</f>
        <v>2</v>
      </c>
      <c r="N20" s="9" t="s">
        <v>98</v>
      </c>
      <c r="O20" s="46">
        <f>VLOOKUP($B20,Form_Oitavas!$C$2:$AQ$60,13,FALSE)</f>
        <v>2</v>
      </c>
      <c r="P20" s="47" t="str">
        <f t="shared" si="3"/>
        <v>empate</v>
      </c>
      <c r="Q20" s="48">
        <f>IF(M20=OITAVAS!M$24,IF(OITAVAS!O$24=O20,Pesos!$N$6,IF(P20=OITAVAS!P$24,Pesos!$N$3,0)),IF(P20=OITAVAS!P$24,Pesos!$N$3,0))*IF(COUNTIF(P$3:P$23,P20)=1,2,1)</f>
        <v>0</v>
      </c>
      <c r="R20" s="46">
        <f>VLOOKUP($B20,Form_Oitavas!$C$2:$AQ$60,17,FALSE)</f>
        <v>1</v>
      </c>
      <c r="S20" s="9" t="s">
        <v>98</v>
      </c>
      <c r="T20" s="46">
        <f>VLOOKUP($B20,Form_Oitavas!$C$2:$AQ$60,18,FALSE)</f>
        <v>2</v>
      </c>
      <c r="U20" s="47" t="str">
        <f t="shared" si="4"/>
        <v>visita</v>
      </c>
      <c r="V20" s="48">
        <f>IF(R20=OITAVAS!R$24,IF(OITAVAS!T$24=T20,Pesos!$N$6,IF(U20=OITAVAS!U$24,Pesos!$N$3,0)),IF(U20=OITAVAS!U$24,Pesos!$N$3,0))*IF(COUNTIF(U$3:U$23,U20)=1,2,1)</f>
        <v>1</v>
      </c>
      <c r="W20" s="46">
        <f>VLOOKUP($B20,Form_Oitavas!$C$2:$AQ$60,22,FALSE)</f>
        <v>2</v>
      </c>
      <c r="X20" s="9" t="s">
        <v>98</v>
      </c>
      <c r="Y20" s="46">
        <f>VLOOKUP($B20,Form_Oitavas!$C$2:$AQ$60,23,FALSE)</f>
        <v>1</v>
      </c>
      <c r="Z20" s="47" t="str">
        <f t="shared" si="5"/>
        <v>casa</v>
      </c>
      <c r="AA20" s="48">
        <f>IF(W20=OITAVAS!W$24,IF(OITAVAS!Y$24=Y20,Pesos!$N$6,IF(Z20=OITAVAS!Z$24,Pesos!$N$3,0)),IF(Z20=OITAVAS!Z$24,Pesos!$N$3,0))*IF(COUNTIF(Z$3:Z$23,Z20)=1,2,1)</f>
        <v>0</v>
      </c>
      <c r="AB20" s="46">
        <f>VLOOKUP($B20,Form_Oitavas!$C$2:$AQ$60,27,FALSE)</f>
        <v>2</v>
      </c>
      <c r="AC20" s="9" t="s">
        <v>98</v>
      </c>
      <c r="AD20" s="46">
        <f>VLOOKUP($B20,Form_Oitavas!$C$2:$AQ$60,28,FALSE)</f>
        <v>0</v>
      </c>
      <c r="AE20" s="47" t="str">
        <f t="shared" si="6"/>
        <v>casa</v>
      </c>
      <c r="AF20" s="48">
        <f>IF(AB20=OITAVAS!AB$24,IF(OITAVAS!AD$24=AD20,Pesos!$N$6,IF(AE20=OITAVAS!AE$24,Pesos!$N$3,0)),IF(AE20=OITAVAS!AE$24,Pesos!$N$3,0))*IF(COUNTIF(AE$3:AE$23,AE20)=1,2,1)</f>
        <v>1</v>
      </c>
      <c r="AG20" s="46">
        <f>VLOOKUP($B20,Form_Oitavas!$C$2:$AQ$60,32,FALSE)</f>
        <v>2</v>
      </c>
      <c r="AH20" s="9" t="s">
        <v>98</v>
      </c>
      <c r="AI20" s="46">
        <f>VLOOKUP($B20,Form_Oitavas!$C$2:$AQ$60,33,FALSE)</f>
        <v>2</v>
      </c>
      <c r="AJ20" s="47" t="str">
        <f t="shared" si="7"/>
        <v>empate</v>
      </c>
      <c r="AK20" s="48">
        <f>IF(AG20=OITAVAS!AG$24,IF(OITAVAS!AI$24=AI20,Pesos!$N$6,IF(AJ20=OITAVAS!AJ$24,Pesos!$N$3,0)),IF(AJ20=OITAVAS!AJ$24,Pesos!$N$3,0))*IF(COUNTIF(AJ$3:AJ$23,AJ20)=1,2,1)</f>
        <v>0</v>
      </c>
      <c r="AL20" s="46">
        <f>VLOOKUP($B20,Form_Oitavas!$C$2:$AQ$60,37,FALSE)</f>
        <v>0</v>
      </c>
      <c r="AM20" s="9" t="s">
        <v>98</v>
      </c>
      <c r="AN20" s="46">
        <f>VLOOKUP($B20,Form_Oitavas!$C$2:$AQ$60,38,FALSE)</f>
        <v>1</v>
      </c>
      <c r="AO20" s="47" t="str">
        <f t="shared" si="8"/>
        <v>visita</v>
      </c>
      <c r="AP20" s="48">
        <f>IF(AL20=OITAVAS!AL$24,IF(OITAVAS!AN$24=AN20,Pesos!$N$6,IF(AO20=OITAVAS!AO$24,Pesos!$N$3,0)),IF(AO20=OITAVAS!AO$24,Pesos!$N$3,0))*IF(COUNTIF(AO$3:AO$23,AO20)=1,2,1)</f>
        <v>0</v>
      </c>
      <c r="AQ20" s="41"/>
      <c r="AR20" s="41">
        <f t="shared" si="9"/>
        <v>3</v>
      </c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</row>
    <row r="21" ht="14.25" customHeight="1">
      <c r="A21" s="40"/>
      <c r="B21" s="52" t="s">
        <v>20</v>
      </c>
      <c r="C21" s="46">
        <f>VLOOKUP($B21,Form_Oitavas!$C$2:$AQ$60,2,FALSE)</f>
        <v>1</v>
      </c>
      <c r="D21" s="9" t="s">
        <v>98</v>
      </c>
      <c r="E21" s="46">
        <f>VLOOKUP($B21,Form_Oitavas!$C$2:$AQ$60,3,FALSE)</f>
        <v>1</v>
      </c>
      <c r="F21" s="47" t="str">
        <f t="shared" si="1"/>
        <v>empate</v>
      </c>
      <c r="G21" s="48">
        <f>IF(C21=OITAVAS!C$24,IF(OITAVAS!E$24=E21,Pesos!$N$6,IF(F21=OITAVAS!F$24,Pesos!$N$3,0)),IF(F21=OITAVAS!F$24,Pesos!$N$3,0))*IF(COUNTIF(F$3:F$23,F21)=1,2,1)</f>
        <v>0</v>
      </c>
      <c r="H21" s="46">
        <f>VLOOKUP($B21,Form_Oitavas!$C$2:$AQ$60,7,FALSE)</f>
        <v>1</v>
      </c>
      <c r="I21" s="46" t="s">
        <v>98</v>
      </c>
      <c r="J21" s="46">
        <f>VLOOKUP($B21,Form_Oitavas!$C$2:$AQ$60,8,FALSE)</f>
        <v>0</v>
      </c>
      <c r="K21" s="47" t="str">
        <f t="shared" si="2"/>
        <v>casa</v>
      </c>
      <c r="L21" s="48">
        <f>IF(H21=OITAVAS!H$24,IF(OITAVAS!J$24=J21,Pesos!$N$6,IF(K21=OITAVAS!K$24,Pesos!$N$3,0)),IF(K21=OITAVAS!K$24,Pesos!$N$3,0))*IF(COUNTIF(K$3:K$23,K21)=1,2,1)</f>
        <v>6</v>
      </c>
      <c r="M21" s="46">
        <f>VLOOKUP($B21,Form_Oitavas!$C$2:$AQ$60,12,FALSE)</f>
        <v>2</v>
      </c>
      <c r="N21" s="46" t="s">
        <v>98</v>
      </c>
      <c r="O21" s="46">
        <f>VLOOKUP($B21,Form_Oitavas!$C$2:$AQ$60,13,FALSE)</f>
        <v>2</v>
      </c>
      <c r="P21" s="47" t="str">
        <f t="shared" si="3"/>
        <v>empate</v>
      </c>
      <c r="Q21" s="48">
        <f>IF(M21=OITAVAS!M$24,IF(OITAVAS!O$24=O21,Pesos!$N$6,IF(P21=OITAVAS!P$24,Pesos!$N$3,0)),IF(P21=OITAVAS!P$24,Pesos!$N$3,0))*IF(COUNTIF(P$3:P$23,P21)=1,2,1)</f>
        <v>0</v>
      </c>
      <c r="R21" s="46">
        <f>VLOOKUP($B21,Form_Oitavas!$C$2:$AQ$60,17,FALSE)</f>
        <v>1</v>
      </c>
      <c r="S21" s="46" t="s">
        <v>98</v>
      </c>
      <c r="T21" s="46">
        <f>VLOOKUP($B21,Form_Oitavas!$C$2:$AQ$60,18,FALSE)</f>
        <v>1</v>
      </c>
      <c r="U21" s="47" t="str">
        <f t="shared" si="4"/>
        <v>empate</v>
      </c>
      <c r="V21" s="48">
        <f>IF(R21=OITAVAS!R$24,IF(OITAVAS!T$24=T21,Pesos!$N$6,IF(U21=OITAVAS!U$24,Pesos!$N$3,0)),IF(U21=OITAVAS!U$24,Pesos!$N$3,0))*IF(COUNTIF(U$3:U$23,U21)=1,2,1)</f>
        <v>0</v>
      </c>
      <c r="W21" s="46">
        <f>VLOOKUP($B21,Form_Oitavas!$C$2:$AQ$60,22,FALSE)</f>
        <v>1</v>
      </c>
      <c r="X21" s="46" t="s">
        <v>98</v>
      </c>
      <c r="Y21" s="46">
        <f>VLOOKUP($B21,Form_Oitavas!$C$2:$AQ$60,23,FALSE)</f>
        <v>1</v>
      </c>
      <c r="Z21" s="47" t="str">
        <f t="shared" si="5"/>
        <v>empate</v>
      </c>
      <c r="AA21" s="48">
        <f>IF(W21=OITAVAS!W$24,IF(OITAVAS!Y$24=Y21,Pesos!$N$6,IF(Z21=OITAVAS!Z$24,Pesos!$N$3,0)),IF(Z21=OITAVAS!Z$24,Pesos!$N$3,0))*IF(COUNTIF(Z$3:Z$23,Z21)=1,2,1)</f>
        <v>6</v>
      </c>
      <c r="AB21" s="46">
        <f>VLOOKUP($B21,Form_Oitavas!$C$2:$AQ$60,27,FALSE)</f>
        <v>1</v>
      </c>
      <c r="AC21" s="46" t="s">
        <v>98</v>
      </c>
      <c r="AD21" s="46">
        <f>VLOOKUP($B21,Form_Oitavas!$C$2:$AQ$60,28,FALSE)</f>
        <v>1</v>
      </c>
      <c r="AE21" s="47" t="str">
        <f t="shared" si="6"/>
        <v>empate</v>
      </c>
      <c r="AF21" s="48">
        <f>IF(AB21=OITAVAS!AB$24,IF(OITAVAS!AD$24=AD21,Pesos!$N$6,IF(AE21=OITAVAS!AE$24,Pesos!$N$3,0)),IF(AE21=OITAVAS!AE$24,Pesos!$N$3,0))*IF(COUNTIF(AE$3:AE$23,AE21)=1,2,1)</f>
        <v>0</v>
      </c>
      <c r="AG21" s="46">
        <f>VLOOKUP($B21,Form_Oitavas!$C$2:$AQ$60,32,FALSE)</f>
        <v>2</v>
      </c>
      <c r="AH21" s="46" t="s">
        <v>98</v>
      </c>
      <c r="AI21" s="46">
        <f>VLOOKUP($B21,Form_Oitavas!$C$2:$AQ$60,33,FALSE)</f>
        <v>1</v>
      </c>
      <c r="AJ21" s="47" t="str">
        <f t="shared" si="7"/>
        <v>casa</v>
      </c>
      <c r="AK21" s="48">
        <f>IF(AG21=OITAVAS!AG$24,IF(OITAVAS!AI$24=AI21,Pesos!$N$6,IF(AJ21=OITAVAS!AJ$24,Pesos!$N$3,0)),IF(AJ21=OITAVAS!AJ$24,Pesos!$N$3,0))*IF(COUNTIF(AJ$3:AJ$23,AJ21)=1,2,1)</f>
        <v>1</v>
      </c>
      <c r="AL21" s="46">
        <f>VLOOKUP($B21,Form_Oitavas!$C$2:$AQ$60,37,FALSE)</f>
        <v>1</v>
      </c>
      <c r="AM21" s="46" t="s">
        <v>98</v>
      </c>
      <c r="AN21" s="46">
        <f>VLOOKUP($B21,Form_Oitavas!$C$2:$AQ$60,38,FALSE)</f>
        <v>1</v>
      </c>
      <c r="AO21" s="47" t="str">
        <f t="shared" si="8"/>
        <v>empate</v>
      </c>
      <c r="AP21" s="48">
        <f>IF(AL21=OITAVAS!AL$24,IF(OITAVAS!AN$24=AN21,Pesos!$N$6,IF(AO21=OITAVAS!AO$24,Pesos!$N$3,0)),IF(AO21=OITAVAS!AO$24,Pesos!$N$3,0))*IF(COUNTIF(AO$3:AO$23,AO21)=1,2,1)</f>
        <v>6</v>
      </c>
      <c r="AQ21" s="41"/>
      <c r="AR21" s="41">
        <f t="shared" si="9"/>
        <v>4</v>
      </c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</row>
    <row r="22" ht="14.25" customHeight="1">
      <c r="A22" s="40"/>
      <c r="B22" s="52" t="s">
        <v>21</v>
      </c>
      <c r="C22" s="46">
        <f>VLOOKUP($B22,Form_Oitavas!$C$2:$AQ$60,2,FALSE)</f>
        <v>1</v>
      </c>
      <c r="D22" s="9" t="s">
        <v>98</v>
      </c>
      <c r="E22" s="46">
        <f>VLOOKUP($B22,Form_Oitavas!$C$2:$AQ$60,3,FALSE)</f>
        <v>2</v>
      </c>
      <c r="F22" s="47" t="str">
        <f t="shared" si="1"/>
        <v>visita</v>
      </c>
      <c r="G22" s="48">
        <f>IF(C22=OITAVAS!C$24,IF(OITAVAS!E$24=E22,Pesos!$N$6,IF(F22=OITAVAS!F$24,Pesos!$N$3,0)),IF(F22=OITAVAS!F$24,Pesos!$N$3,0))*IF(COUNTIF(F$3:F$23,F22)=1,2,1)</f>
        <v>0</v>
      </c>
      <c r="H22" s="46">
        <f>VLOOKUP($B22,Form_Oitavas!$C$2:$AQ$60,7,FALSE)</f>
        <v>1</v>
      </c>
      <c r="I22" s="46" t="s">
        <v>98</v>
      </c>
      <c r="J22" s="46">
        <f>VLOOKUP($B22,Form_Oitavas!$C$2:$AQ$60,8,FALSE)</f>
        <v>3</v>
      </c>
      <c r="K22" s="47" t="str">
        <f t="shared" si="2"/>
        <v>visita</v>
      </c>
      <c r="L22" s="48">
        <f>IF(H22=OITAVAS!H$24,IF(OITAVAS!J$24=J22,Pesos!$N$6,IF(K22=OITAVAS!K$24,Pesos!$N$3,0)),IF(K22=OITAVAS!K$24,Pesos!$N$3,0))*IF(COUNTIF(K$3:K$23,K22)=1,2,1)</f>
        <v>0</v>
      </c>
      <c r="M22" s="46">
        <f>VLOOKUP($B22,Form_Oitavas!$C$2:$AQ$60,12,FALSE)</f>
        <v>3</v>
      </c>
      <c r="N22" s="46" t="s">
        <v>98</v>
      </c>
      <c r="O22" s="46">
        <f>VLOOKUP($B22,Form_Oitavas!$C$2:$AQ$60,13,FALSE)</f>
        <v>0</v>
      </c>
      <c r="P22" s="47" t="str">
        <f t="shared" si="3"/>
        <v>casa</v>
      </c>
      <c r="Q22" s="48">
        <f>IF(M22=OITAVAS!M$24,IF(OITAVAS!O$24=O22,Pesos!$N$6,IF(P22=OITAVAS!P$24,Pesos!$N$3,0)),IF(P22=OITAVAS!P$24,Pesos!$N$3,0))*IF(COUNTIF(P$3:P$23,P22)=1,2,1)</f>
        <v>6</v>
      </c>
      <c r="R22" s="46">
        <f>VLOOKUP($B22,Form_Oitavas!$C$2:$AQ$60,17,FALSE)</f>
        <v>2</v>
      </c>
      <c r="S22" s="46" t="s">
        <v>98</v>
      </c>
      <c r="T22" s="46">
        <f>VLOOKUP($B22,Form_Oitavas!$C$2:$AQ$60,18,FALSE)</f>
        <v>2</v>
      </c>
      <c r="U22" s="47" t="str">
        <f t="shared" si="4"/>
        <v>empate</v>
      </c>
      <c r="V22" s="48">
        <f>IF(R22=OITAVAS!R$24,IF(OITAVAS!T$24=T22,Pesos!$N$6,IF(U22=OITAVAS!U$24,Pesos!$N$3,0)),IF(U22=OITAVAS!U$24,Pesos!$N$3,0))*IF(COUNTIF(U$3:U$23,U22)=1,2,1)</f>
        <v>0</v>
      </c>
      <c r="W22" s="46">
        <f>VLOOKUP($B22,Form_Oitavas!$C$2:$AQ$60,22,FALSE)</f>
        <v>0</v>
      </c>
      <c r="X22" s="46" t="s">
        <v>98</v>
      </c>
      <c r="Y22" s="46">
        <f>VLOOKUP($B22,Form_Oitavas!$C$2:$AQ$60,23,FALSE)</f>
        <v>2</v>
      </c>
      <c r="Z22" s="47" t="str">
        <f t="shared" si="5"/>
        <v>visita</v>
      </c>
      <c r="AA22" s="48">
        <f>IF(W22=OITAVAS!W$24,IF(OITAVAS!Y$24=Y22,Pesos!$N$6,IF(Z22=OITAVAS!Z$24,Pesos!$N$3,0)),IF(Z22=OITAVAS!Z$24,Pesos!$N$3,0))*IF(COUNTIF(Z$3:Z$23,Z22)=1,2,1)</f>
        <v>0</v>
      </c>
      <c r="AB22" s="46">
        <f>VLOOKUP($B22,Form_Oitavas!$C$2:$AQ$60,27,FALSE)</f>
        <v>2</v>
      </c>
      <c r="AC22" s="46" t="s">
        <v>98</v>
      </c>
      <c r="AD22" s="46">
        <f>VLOOKUP($B22,Form_Oitavas!$C$2:$AQ$60,28,FALSE)</f>
        <v>0</v>
      </c>
      <c r="AE22" s="47" t="str">
        <f t="shared" si="6"/>
        <v>casa</v>
      </c>
      <c r="AF22" s="48">
        <f>IF(AB22=OITAVAS!AB$24,IF(OITAVAS!AD$24=AD22,Pesos!$N$6,IF(AE22=OITAVAS!AE$24,Pesos!$N$3,0)),IF(AE22=OITAVAS!AE$24,Pesos!$N$3,0))*IF(COUNTIF(AE$3:AE$23,AE22)=1,2,1)</f>
        <v>1</v>
      </c>
      <c r="AG22" s="46">
        <f>VLOOKUP($B22,Form_Oitavas!$C$2:$AQ$60,32,FALSE)</f>
        <v>1</v>
      </c>
      <c r="AH22" s="46" t="s">
        <v>98</v>
      </c>
      <c r="AI22" s="46">
        <f>VLOOKUP($B22,Form_Oitavas!$C$2:$AQ$60,33,FALSE)</f>
        <v>1</v>
      </c>
      <c r="AJ22" s="47" t="str">
        <f t="shared" si="7"/>
        <v>empate</v>
      </c>
      <c r="AK22" s="48">
        <f>IF(AG22=OITAVAS!AG$24,IF(OITAVAS!AI$24=AI22,Pesos!$N$6,IF(AJ22=OITAVAS!AJ$24,Pesos!$N$3,0)),IF(AJ22=OITAVAS!AJ$24,Pesos!$N$3,0))*IF(COUNTIF(AJ$3:AJ$23,AJ22)=1,2,1)</f>
        <v>0</v>
      </c>
      <c r="AL22" s="46">
        <f>VLOOKUP($B22,Form_Oitavas!$C$2:$AQ$60,37,FALSE)</f>
        <v>1</v>
      </c>
      <c r="AM22" s="46" t="s">
        <v>98</v>
      </c>
      <c r="AN22" s="46">
        <f>VLOOKUP($B22,Form_Oitavas!$C$2:$AQ$60,38,FALSE)</f>
        <v>3</v>
      </c>
      <c r="AO22" s="47" t="str">
        <f t="shared" si="8"/>
        <v>visita</v>
      </c>
      <c r="AP22" s="48">
        <f>IF(AL22=OITAVAS!AL$24,IF(OITAVAS!AN$24=AN22,Pesos!$N$6,IF(AO22=OITAVAS!AO$24,Pesos!$N$3,0)),IF(AO22=OITAVAS!AO$24,Pesos!$N$3,0))*IF(COUNTIF(AO$3:AO$23,AO22)=1,2,1)</f>
        <v>0</v>
      </c>
      <c r="AQ22" s="41"/>
      <c r="AR22" s="41">
        <f t="shared" si="9"/>
        <v>2</v>
      </c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</row>
    <row r="23" ht="14.25" customHeight="1">
      <c r="A23" s="40"/>
      <c r="B23" s="52" t="s">
        <v>22</v>
      </c>
      <c r="C23" s="46">
        <f>VLOOKUP($B23,Form_Oitavas!$C$2:$AQ$60,2,FALSE)</f>
        <v>2</v>
      </c>
      <c r="D23" s="46" t="s">
        <v>98</v>
      </c>
      <c r="E23" s="46">
        <f>VLOOKUP($B23,Form_Oitavas!$C$2:$AQ$60,3,FALSE)</f>
        <v>1</v>
      </c>
      <c r="F23" s="47" t="str">
        <f t="shared" si="1"/>
        <v>casa</v>
      </c>
      <c r="G23" s="48">
        <f>IF(C23=OITAVAS!C$24,IF(OITAVAS!E$24=E23,Pesos!$N$6,IF(F23=OITAVAS!F$24,Pesos!$N$3,0)),IF(F23=OITAVAS!F$24,Pesos!$N$3,0))*IF(COUNTIF(F$3:F$23,F23)=1,2,1)</f>
        <v>1</v>
      </c>
      <c r="H23" s="46">
        <f>VLOOKUP($B23,Form_Oitavas!$C$2:$AQ$60,7,FALSE)</f>
        <v>1</v>
      </c>
      <c r="I23" s="46" t="s">
        <v>98</v>
      </c>
      <c r="J23" s="46">
        <f>VLOOKUP($B23,Form_Oitavas!$C$2:$AQ$60,8,FALSE)</f>
        <v>1</v>
      </c>
      <c r="K23" s="47" t="str">
        <f t="shared" si="2"/>
        <v>empate</v>
      </c>
      <c r="L23" s="48">
        <f>IF(H23=OITAVAS!H$24,IF(OITAVAS!J$24=J23,Pesos!$N$6,IF(K23=OITAVAS!K$24,Pesos!$N$3,0)),IF(K23=OITAVAS!K$24,Pesos!$N$3,0))*IF(COUNTIF(K$3:K$23,K23)=1,2,1)</f>
        <v>0</v>
      </c>
      <c r="M23" s="46">
        <f>VLOOKUP($B23,Form_Oitavas!$C$2:$AQ$60,12,FALSE)</f>
        <v>2</v>
      </c>
      <c r="N23" s="46" t="s">
        <v>98</v>
      </c>
      <c r="O23" s="46">
        <f>VLOOKUP($B23,Form_Oitavas!$C$2:$AQ$60,13,FALSE)</f>
        <v>1</v>
      </c>
      <c r="P23" s="47" t="str">
        <f t="shared" si="3"/>
        <v>casa</v>
      </c>
      <c r="Q23" s="48">
        <f>IF(M23=OITAVAS!M$24,IF(OITAVAS!O$24=O23,Pesos!$N$6,IF(P23=OITAVAS!P$24,Pesos!$N$3,0)),IF(P23=OITAVAS!P$24,Pesos!$N$3,0))*IF(COUNTIF(P$3:P$23,P23)=1,2,1)</f>
        <v>1</v>
      </c>
      <c r="R23" s="46">
        <f>VLOOKUP($B23,Form_Oitavas!$C$2:$AQ$60,17,FALSE)</f>
        <v>1</v>
      </c>
      <c r="S23" s="46" t="s">
        <v>98</v>
      </c>
      <c r="T23" s="46">
        <f>VLOOKUP($B23,Form_Oitavas!$C$2:$AQ$60,18,FALSE)</f>
        <v>2</v>
      </c>
      <c r="U23" s="47" t="str">
        <f t="shared" si="4"/>
        <v>visita</v>
      </c>
      <c r="V23" s="48">
        <f>IF(R23=OITAVAS!R$24,IF(OITAVAS!T$24=T23,Pesos!$N$6,IF(U23=OITAVAS!U$24,Pesos!$N$3,0)),IF(U23=OITAVAS!U$24,Pesos!$N$3,0))*IF(COUNTIF(U$3:U$23,U23)=1,2,1)</f>
        <v>1</v>
      </c>
      <c r="W23" s="46">
        <f>VLOOKUP($B23,Form_Oitavas!$C$2:$AQ$60,22,FALSE)</f>
        <v>1</v>
      </c>
      <c r="X23" s="46" t="s">
        <v>98</v>
      </c>
      <c r="Y23" s="46">
        <f>VLOOKUP($B23,Form_Oitavas!$C$2:$AQ$60,23,FALSE)</f>
        <v>2</v>
      </c>
      <c r="Z23" s="47" t="str">
        <f t="shared" si="5"/>
        <v>visita</v>
      </c>
      <c r="AA23" s="48">
        <f>IF(W23=OITAVAS!W$24,IF(OITAVAS!Y$24=Y23,Pesos!$N$6,IF(Z23=OITAVAS!Z$24,Pesos!$N$3,0)),IF(Z23=OITAVAS!Z$24,Pesos!$N$3,0))*IF(COUNTIF(Z$3:Z$23,Z23)=1,2,1)</f>
        <v>0</v>
      </c>
      <c r="AB23" s="46">
        <f>VLOOKUP($B23,Form_Oitavas!$C$2:$AQ$60,27,FALSE)</f>
        <v>2</v>
      </c>
      <c r="AC23" s="46" t="s">
        <v>98</v>
      </c>
      <c r="AD23" s="46">
        <f>VLOOKUP($B23,Form_Oitavas!$C$2:$AQ$60,28,FALSE)</f>
        <v>0</v>
      </c>
      <c r="AE23" s="47" t="str">
        <f t="shared" si="6"/>
        <v>casa</v>
      </c>
      <c r="AF23" s="48">
        <f>IF(AB23=OITAVAS!AB$24,IF(OITAVAS!AD$24=AD23,Pesos!$N$6,IF(AE23=OITAVAS!AE$24,Pesos!$N$3,0)),IF(AE23=OITAVAS!AE$24,Pesos!$N$3,0))*IF(COUNTIF(AE$3:AE$23,AE23)=1,2,1)</f>
        <v>1</v>
      </c>
      <c r="AG23" s="46">
        <f>VLOOKUP($B23,Form_Oitavas!$C$2:$AQ$60,32,FALSE)</f>
        <v>1</v>
      </c>
      <c r="AH23" s="46" t="s">
        <v>98</v>
      </c>
      <c r="AI23" s="46">
        <f>VLOOKUP($B23,Form_Oitavas!$C$2:$AQ$60,33,FALSE)</f>
        <v>2</v>
      </c>
      <c r="AJ23" s="47" t="str">
        <f t="shared" si="7"/>
        <v>visita</v>
      </c>
      <c r="AK23" s="48">
        <f>IF(AG23=OITAVAS!AG$24,IF(OITAVAS!AI$24=AI23,Pesos!$N$6,IF(AJ23=OITAVAS!AJ$24,Pesos!$N$3,0)),IF(AJ23=OITAVAS!AJ$24,Pesos!$N$3,0))*IF(COUNTIF(AJ$3:AJ$23,AJ23)=1,2,1)</f>
        <v>0</v>
      </c>
      <c r="AL23" s="46">
        <f>VLOOKUP($B23,Form_Oitavas!$C$2:$AQ$60,37,FALSE)</f>
        <v>1</v>
      </c>
      <c r="AM23" s="46" t="s">
        <v>98</v>
      </c>
      <c r="AN23" s="46">
        <f>VLOOKUP($B23,Form_Oitavas!$C$2:$AQ$60,38,FALSE)</f>
        <v>2</v>
      </c>
      <c r="AO23" s="47" t="str">
        <f t="shared" si="8"/>
        <v>visita</v>
      </c>
      <c r="AP23" s="48">
        <f>IF(AL23=OITAVAS!AL$24,IF(OITAVAS!AN$24=AN23,Pesos!$N$6,IF(AO23=OITAVAS!AO$24,Pesos!$N$3,0)),IF(AO23=OITAVAS!AO$24,Pesos!$N$3,0))*IF(COUNTIF(AO$3:AO$23,AO23)=1,2,1)</f>
        <v>0</v>
      </c>
      <c r="AQ23" s="41"/>
      <c r="AR23" s="41">
        <f t="shared" si="9"/>
        <v>4</v>
      </c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</row>
    <row r="24" ht="14.25" customHeight="1">
      <c r="A24" s="40"/>
      <c r="B24" s="53" t="s">
        <v>1</v>
      </c>
      <c r="C24" s="54">
        <v>5.0</v>
      </c>
      <c r="D24" s="54" t="s">
        <v>98</v>
      </c>
      <c r="E24" s="54">
        <v>2.0</v>
      </c>
      <c r="F24" s="55" t="str">
        <f>if(E24="","",IF(C24&gt;E24,"casa",IF(C24=E24,"empate","visita")))</f>
        <v>casa</v>
      </c>
      <c r="G24" s="55"/>
      <c r="H24" s="54">
        <v>1.0</v>
      </c>
      <c r="I24" s="54" t="s">
        <v>98</v>
      </c>
      <c r="J24" s="54">
        <v>0.0</v>
      </c>
      <c r="K24" s="55" t="str">
        <f>if(J24="","",IF(H24&gt;J24,"casa",IF(H24=J24,"empate","visita")))</f>
        <v>casa</v>
      </c>
      <c r="L24" s="55"/>
      <c r="M24" s="54">
        <v>3.0</v>
      </c>
      <c r="N24" s="54" t="s">
        <v>98</v>
      </c>
      <c r="O24" s="54">
        <v>0.0</v>
      </c>
      <c r="P24" s="55" t="str">
        <f>if(O24="","",IF(M24&gt;O24,"casa",IF(M24=O24,"empate","visita")))</f>
        <v>casa</v>
      </c>
      <c r="Q24" s="55"/>
      <c r="R24" s="54">
        <v>1.0</v>
      </c>
      <c r="S24" s="54" t="s">
        <v>98</v>
      </c>
      <c r="T24" s="54">
        <v>6.0</v>
      </c>
      <c r="U24" s="55" t="str">
        <f>if(T24="","",IF(R24&gt;T24,"casa",IF(R24=T24,"empate","visita")))</f>
        <v>visita</v>
      </c>
      <c r="V24" s="55"/>
      <c r="W24" s="54">
        <v>1.0</v>
      </c>
      <c r="X24" s="54" t="s">
        <v>98</v>
      </c>
      <c r="Y24" s="54">
        <v>1.0</v>
      </c>
      <c r="Z24" s="55" t="str">
        <f>if(Y24="","",IF(W24&gt;Y24,"casa",IF(W24=Y24,"empate","visita")))</f>
        <v>empate</v>
      </c>
      <c r="AA24" s="55"/>
      <c r="AB24" s="54">
        <v>5.0</v>
      </c>
      <c r="AC24" s="54" t="s">
        <v>98</v>
      </c>
      <c r="AD24" s="54">
        <v>2.0</v>
      </c>
      <c r="AE24" s="55" t="str">
        <f>if(AD24="","",IF(AB24&gt;AD24,"casa",IF(AB24=AD24,"empate","visita")))</f>
        <v>casa</v>
      </c>
      <c r="AF24" s="55"/>
      <c r="AG24" s="54">
        <v>3.0</v>
      </c>
      <c r="AH24" s="54" t="s">
        <v>98</v>
      </c>
      <c r="AI24" s="54">
        <v>0.0</v>
      </c>
      <c r="AJ24" s="55" t="str">
        <f>if(AI24="","",IF(AG24&gt;AI24,"casa",IF(AG24=AI24,"empate","visita")))</f>
        <v>casa</v>
      </c>
      <c r="AK24" s="55"/>
      <c r="AL24" s="54">
        <v>1.0</v>
      </c>
      <c r="AM24" s="54" t="s">
        <v>98</v>
      </c>
      <c r="AN24" s="54">
        <v>1.0</v>
      </c>
      <c r="AO24" s="55" t="str">
        <f>if(AN24="","",IF(AL24&gt;AN24,"casa",IF(AL24=AN24,"empate","visita")))</f>
        <v>empate</v>
      </c>
      <c r="AP24" s="55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</row>
    <row r="25" ht="17.2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</row>
    <row r="26" ht="14.25" customHeight="1">
      <c r="A26" s="40"/>
      <c r="B26" s="1"/>
      <c r="C26" s="42" t="s">
        <v>118</v>
      </c>
      <c r="D26" s="43"/>
      <c r="E26" s="44"/>
      <c r="F26" s="1"/>
      <c r="G26" s="1"/>
      <c r="H26" s="42" t="s">
        <v>119</v>
      </c>
      <c r="I26" s="43"/>
      <c r="J26" s="44"/>
      <c r="K26" s="1"/>
      <c r="L26" s="1"/>
      <c r="M26" s="42" t="s">
        <v>120</v>
      </c>
      <c r="N26" s="43"/>
      <c r="O26" s="44"/>
      <c r="P26" s="1"/>
      <c r="Q26" s="1"/>
      <c r="R26" s="42" t="s">
        <v>121</v>
      </c>
      <c r="S26" s="43"/>
      <c r="T26" s="44"/>
      <c r="U26" s="1"/>
      <c r="V26" s="1"/>
      <c r="W26" s="42" t="s">
        <v>122</v>
      </c>
      <c r="X26" s="43"/>
      <c r="Y26" s="44"/>
      <c r="Z26" s="1"/>
      <c r="AA26" s="1"/>
      <c r="AB26" s="42" t="s">
        <v>123</v>
      </c>
      <c r="AC26" s="43"/>
      <c r="AD26" s="44"/>
      <c r="AE26" s="1"/>
      <c r="AF26" s="1"/>
      <c r="AG26" s="42" t="s">
        <v>124</v>
      </c>
      <c r="AH26" s="43"/>
      <c r="AI26" s="44"/>
      <c r="AJ26" s="1"/>
      <c r="AK26" s="1"/>
      <c r="AL26" s="42" t="s">
        <v>125</v>
      </c>
      <c r="AM26" s="43"/>
      <c r="AN26" s="44"/>
      <c r="AO26" s="1"/>
      <c r="AP26" s="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</row>
    <row r="27" ht="14.25" customHeight="1">
      <c r="A27" s="41"/>
      <c r="B27" s="45" t="s">
        <v>9</v>
      </c>
      <c r="C27" s="46">
        <f>VLOOKUP($B27,Form_Oitavas!$C$2:$AQ$60,4,FALSE)</f>
        <v>2</v>
      </c>
      <c r="D27" s="9" t="s">
        <v>98</v>
      </c>
      <c r="E27" s="46">
        <f>VLOOKUP($B27,Form_Oitavas!$C$2:$AQ$60,5,FALSE)</f>
        <v>2</v>
      </c>
      <c r="F27" s="47" t="str">
        <f t="shared" ref="F27:F47" si="10">IF(C27&gt;E27,"casa",IF(C27=E27,"empate","visita"))</f>
        <v>empate</v>
      </c>
      <c r="G27" s="48">
        <f>IF(C27=OITAVAS!C$48,IF(OITAVAS!E$48=E27,Pesos!$N$6,IF(F27=OITAVAS!F$48,Pesos!$N$3,0)),IF(F27=OITAVAS!F$48,Pesos!$N$3,0))*IF(COUNTIF(F$27:F$47,F27)=1,2,1)</f>
        <v>0</v>
      </c>
      <c r="H27" s="46">
        <f>VLOOKUP($B27,Form_Oitavas!$C$2:$AQ$60,9,FALSE)</f>
        <v>2</v>
      </c>
      <c r="I27" s="9" t="s">
        <v>98</v>
      </c>
      <c r="J27" s="46">
        <f>VLOOKUP($B27,Form_Oitavas!$C$2:$AQ$60,10,FALSE)</f>
        <v>1</v>
      </c>
      <c r="K27" s="47" t="str">
        <f t="shared" ref="K27:K47" si="11">IF(H27&gt;J27,"casa",IF(H27=J27,"empate","visita"))</f>
        <v>casa</v>
      </c>
      <c r="L27" s="48">
        <f>IF(H27=OITAVAS!H$48,IF(OITAVAS!J$48=J27,Pesos!$N$6,IF(K27=OITAVAS!K$48,Pesos!$N$3,0)),IF(K27=OITAVAS!K$48,Pesos!$N$3,0))*IF(COUNTIF(K$27:K$47,K27)=1,2,1)</f>
        <v>1</v>
      </c>
      <c r="M27" s="46">
        <f>VLOOKUP($B27,Form_Oitavas!$C$2:$AQ$60,14,FALSE)</f>
        <v>2</v>
      </c>
      <c r="N27" s="9" t="s">
        <v>98</v>
      </c>
      <c r="O27" s="46">
        <f>VLOOKUP($B27,Form_Oitavas!$C$2:$AQ$60,15,FALSE)</f>
        <v>2</v>
      </c>
      <c r="P27" s="47" t="str">
        <f t="shared" ref="P27:P47" si="12">IF(M27&gt;O27,"casa",IF(M27=O27,"empate","visita"))</f>
        <v>empate</v>
      </c>
      <c r="Q27" s="48">
        <f>IF(M27=OITAVAS!M$48,IF(OITAVAS!O$48=O27,Pesos!$N$6,IF(P27=OITAVAS!P$48,Pesos!$N$3,0)),IF(P27=OITAVAS!P$48,Pesos!$N$3,0))*IF(COUNTIF(P$27:P$47,P27)=1,2,1)</f>
        <v>0</v>
      </c>
      <c r="R27" s="46">
        <f>VLOOKUP($B27,Form_Oitavas!$C$2:$AQ$60,19,FALSE)</f>
        <v>3</v>
      </c>
      <c r="S27" s="9" t="s">
        <v>98</v>
      </c>
      <c r="T27" s="46">
        <f>VLOOKUP($B27,Form_Oitavas!$C$2:$AQ$60,20,FALSE)</f>
        <v>1</v>
      </c>
      <c r="U27" s="47" t="str">
        <f t="shared" ref="U27:U47" si="13">IF(R27&gt;T27,"casa",IF(R27=T27,"empate","visita"))</f>
        <v>casa</v>
      </c>
      <c r="V27" s="48">
        <f>IF(R27=OITAVAS!R$48,IF(OITAVAS!T$48=T27,Pesos!$N$6,IF(U27=OITAVAS!U$48,Pesos!$N$3,0)),IF(U27=OITAVAS!U$48,Pesos!$N$3,0))*IF(COUNTIF(U$27:U$47,U27)=1,2,1)</f>
        <v>1</v>
      </c>
      <c r="W27" s="46">
        <f>VLOOKUP($B27,Form_Oitavas!$C$2:$AQ$60,24,FALSE)</f>
        <v>3</v>
      </c>
      <c r="X27" s="9" t="s">
        <v>98</v>
      </c>
      <c r="Y27" s="46">
        <f>VLOOKUP($B27,Form_Oitavas!$C$2:$AQ$60,25,FALSE)</f>
        <v>1</v>
      </c>
      <c r="Z27" s="47" t="str">
        <f t="shared" ref="Z27:Z47" si="14">IF(W27&gt;Y27,"casa",IF(W27=Y27,"empate","visita"))</f>
        <v>casa</v>
      </c>
      <c r="AA27" s="48">
        <f>IF(W27=OITAVAS!W$48,IF(OITAVAS!Y$48=Y27,Pesos!$N$6,IF(Z27=OITAVAS!Z$48,Pesos!$N$3,0)),IF(Z27=OITAVAS!Z$48,Pesos!$N$3,0))*IF(COUNTIF(Z$27:Z$47,Z27)=1,2,1)</f>
        <v>1</v>
      </c>
      <c r="AB27" s="46">
        <f>VLOOKUP($B27,Form_Oitavas!$C$2:$AQ$60,29,FALSE)</f>
        <v>2</v>
      </c>
      <c r="AC27" s="9" t="s">
        <v>98</v>
      </c>
      <c r="AD27" s="46">
        <f>VLOOKUP($B27,Form_Oitavas!$C$2:$AQ$60,30,FALSE)</f>
        <v>0</v>
      </c>
      <c r="AE27" s="47" t="str">
        <f t="shared" ref="AE27:AE47" si="15">IF(AB27&gt;AD27,"casa",IF(AB27=AD27,"empate","visita"))</f>
        <v>casa</v>
      </c>
      <c r="AF27" s="48">
        <f>IF(AB27=OITAVAS!AB$48,IF(OITAVAS!AD$48=AD27,Pesos!$N$6,IF(AE27=OITAVAS!AE$48,Pesos!$N$3,0)),IF(AE27=OITAVAS!AE$48,Pesos!$N$3,0))*IF(COUNTIF(AE$27:AE$47,AE27)=1,2,1)</f>
        <v>1</v>
      </c>
      <c r="AG27" s="46">
        <f>VLOOKUP($B27,Form_Oitavas!$C$2:$AQ$60,34,FALSE)</f>
        <v>2</v>
      </c>
      <c r="AH27" s="9" t="s">
        <v>98</v>
      </c>
      <c r="AI27" s="46">
        <f>VLOOKUP($B27,Form_Oitavas!$C$2:$AQ$60,35,FALSE)</f>
        <v>0</v>
      </c>
      <c r="AJ27" s="47" t="str">
        <f t="shared" ref="AJ27:AJ47" si="16">IF(AG27&gt;AI27,"casa",IF(AG27=AI27,"empate","visita"))</f>
        <v>casa</v>
      </c>
      <c r="AK27" s="48">
        <f>IF(AG27=OITAVAS!AG$48,IF(OITAVAS!AI$48=AI27,Pesos!$N$6,IF(AJ27=OITAVAS!AJ$48,Pesos!$N$3,0)),IF(AJ27=OITAVAS!AJ$48,Pesos!$N$3,0))*IF(COUNTIF(AJ$27:AJ$47,AJ27)=1,2,1)</f>
        <v>1</v>
      </c>
      <c r="AL27" s="46">
        <f>VLOOKUP($B27,Form_Oitavas!$C$2:$AQ$60,39,FALSE)</f>
        <v>3</v>
      </c>
      <c r="AM27" s="9" t="s">
        <v>98</v>
      </c>
      <c r="AN27" s="46">
        <f>VLOOKUP($B27,Form_Oitavas!$C$2:$AQ$60,40,FALSE)</f>
        <v>1</v>
      </c>
      <c r="AO27" s="47" t="str">
        <f t="shared" ref="AO27:AO47" si="17">IF(AL27&gt;AN27,"casa",IF(AL27=AN27,"empate","visita"))</f>
        <v>casa</v>
      </c>
      <c r="AP27" s="48">
        <f>IF(AL27=OITAVAS!AL$48,IF(OITAVAS!AN$48=AN27,Pesos!$N$6,IF(AO27=OITAVAS!AO$48,Pesos!$N$3,0)),IF(AO27=OITAVAS!AO$48,Pesos!$N$3,0))*IF(COUNTIF(AO$27:AO$47,AO27)=1,2,1)</f>
        <v>1</v>
      </c>
      <c r="AQ27" s="41"/>
      <c r="AR27" s="41">
        <f t="shared" ref="AR27:AR47" si="18">IF(L27=0,0,1)+IF(Q27=0,0,1)+IF(V27=0,0,1)+IF(AA27=0,0,1)+IF(AF27=0,0,1)+IF(AK27=0,0,1)+IF(AP27=0,0,1)+IF(G27=0,0,1)</f>
        <v>6</v>
      </c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</row>
    <row r="28" ht="14.25" customHeight="1">
      <c r="A28" s="41"/>
      <c r="B28" s="51" t="s">
        <v>10</v>
      </c>
      <c r="C28" s="46">
        <f>VLOOKUP($B28,Form_Oitavas!$C$2:$AQ$60,4,FALSE)</f>
        <v>3</v>
      </c>
      <c r="D28" s="48" t="s">
        <v>98</v>
      </c>
      <c r="E28" s="46">
        <f>VLOOKUP($B28,Form_Oitavas!$C$2:$AQ$60,5,FALSE)</f>
        <v>2</v>
      </c>
      <c r="F28" s="47" t="str">
        <f t="shared" si="10"/>
        <v>casa</v>
      </c>
      <c r="G28" s="48">
        <f>IF(C28=OITAVAS!C$48,IF(OITAVAS!E$48=E28,Pesos!$N$6,IF(F28=OITAVAS!F$48,Pesos!$N$3,0)),IF(F28=OITAVAS!F$48,Pesos!$N$3,0))*IF(COUNTIF(F$27:F$47,F28)=1,2,1)</f>
        <v>0</v>
      </c>
      <c r="H28" s="46">
        <f>VLOOKUP($B28,Form_Oitavas!$C$2:$AQ$60,9,FALSE)</f>
        <v>3</v>
      </c>
      <c r="I28" s="48" t="s">
        <v>98</v>
      </c>
      <c r="J28" s="46">
        <f>VLOOKUP($B28,Form_Oitavas!$C$2:$AQ$60,10,FALSE)</f>
        <v>1</v>
      </c>
      <c r="K28" s="47" t="str">
        <f t="shared" si="11"/>
        <v>casa</v>
      </c>
      <c r="L28" s="48">
        <f>IF(H28=OITAVAS!H$48,IF(OITAVAS!J$48=J28,Pesos!$N$6,IF(K28=OITAVAS!K$48,Pesos!$N$3,0)),IF(K28=OITAVAS!K$48,Pesos!$N$3,0))*IF(COUNTIF(K$27:K$47,K28)=1,2,1)</f>
        <v>1</v>
      </c>
      <c r="M28" s="46">
        <f>VLOOKUP($B28,Form_Oitavas!$C$2:$AQ$60,14,FALSE)</f>
        <v>3</v>
      </c>
      <c r="N28" s="9" t="s">
        <v>98</v>
      </c>
      <c r="O28" s="46">
        <f>VLOOKUP($B28,Form_Oitavas!$C$2:$AQ$60,15,FALSE)</f>
        <v>0</v>
      </c>
      <c r="P28" s="47" t="str">
        <f t="shared" si="12"/>
        <v>casa</v>
      </c>
      <c r="Q28" s="48">
        <f>IF(M28=OITAVAS!M$48,IF(OITAVAS!O$48=O28,Pesos!$N$6,IF(P28=OITAVAS!P$48,Pesos!$N$3,0)),IF(P28=OITAVAS!P$48,Pesos!$N$3,0))*IF(COUNTIF(P$27:P$47,P28)=1,2,1)</f>
        <v>0</v>
      </c>
      <c r="R28" s="46">
        <f>VLOOKUP($B28,Form_Oitavas!$C$2:$AQ$60,19,FALSE)</f>
        <v>2</v>
      </c>
      <c r="S28" s="48" t="s">
        <v>98</v>
      </c>
      <c r="T28" s="46">
        <f>VLOOKUP($B28,Form_Oitavas!$C$2:$AQ$60,20,FALSE)</f>
        <v>0</v>
      </c>
      <c r="U28" s="47" t="str">
        <f t="shared" si="13"/>
        <v>casa</v>
      </c>
      <c r="V28" s="48">
        <f>IF(R28=OITAVAS!R$48,IF(OITAVAS!T$48=T28,Pesos!$N$6,IF(U28=OITAVAS!U$48,Pesos!$N$3,0)),IF(U28=OITAVAS!U$48,Pesos!$N$3,0))*IF(COUNTIF(U$27:U$47,U28)=1,2,1)</f>
        <v>1</v>
      </c>
      <c r="W28" s="46">
        <f>VLOOKUP($B28,Form_Oitavas!$C$2:$AQ$60,24,FALSE)</f>
        <v>3</v>
      </c>
      <c r="X28" s="48" t="s">
        <v>98</v>
      </c>
      <c r="Y28" s="46">
        <f>VLOOKUP($B28,Form_Oitavas!$C$2:$AQ$60,25,FALSE)</f>
        <v>0</v>
      </c>
      <c r="Z28" s="47" t="str">
        <f t="shared" si="14"/>
        <v>casa</v>
      </c>
      <c r="AA28" s="48">
        <f>IF(W28=OITAVAS!W$48,IF(OITAVAS!Y$48=Y28,Pesos!$N$6,IF(Z28=OITAVAS!Z$48,Pesos!$N$3,0)),IF(Z28=OITAVAS!Z$48,Pesos!$N$3,0))*IF(COUNTIF(Z$27:Z$47,Z28)=1,2,1)</f>
        <v>1</v>
      </c>
      <c r="AB28" s="46">
        <f>VLOOKUP($B28,Form_Oitavas!$C$2:$AQ$60,29,FALSE)</f>
        <v>2</v>
      </c>
      <c r="AC28" s="48" t="s">
        <v>98</v>
      </c>
      <c r="AD28" s="46">
        <f>VLOOKUP($B28,Form_Oitavas!$C$2:$AQ$60,30,FALSE)</f>
        <v>1</v>
      </c>
      <c r="AE28" s="47" t="str">
        <f t="shared" si="15"/>
        <v>casa</v>
      </c>
      <c r="AF28" s="48">
        <f>IF(AB28=OITAVAS!AB$48,IF(OITAVAS!AD$48=AD28,Pesos!$N$6,IF(AE28=OITAVAS!AE$48,Pesos!$N$3,0)),IF(AE28=OITAVAS!AE$48,Pesos!$N$3,0))*IF(COUNTIF(AE$27:AE$47,AE28)=1,2,1)</f>
        <v>1</v>
      </c>
      <c r="AG28" s="46">
        <f>VLOOKUP($B28,Form_Oitavas!$C$2:$AQ$60,34,FALSE)</f>
        <v>2</v>
      </c>
      <c r="AH28" s="48" t="s">
        <v>98</v>
      </c>
      <c r="AI28" s="46">
        <f>VLOOKUP($B28,Form_Oitavas!$C$2:$AQ$60,35,FALSE)</f>
        <v>2</v>
      </c>
      <c r="AJ28" s="47" t="str">
        <f t="shared" si="16"/>
        <v>empate</v>
      </c>
      <c r="AK28" s="48">
        <f>IF(AG28=OITAVAS!AG$48,IF(OITAVAS!AI$48=AI28,Pesos!$N$6,IF(AJ28=OITAVAS!AJ$48,Pesos!$N$3,0)),IF(AJ28=OITAVAS!AJ$48,Pesos!$N$3,0))*IF(COUNTIF(AJ$27:AJ$47,AJ28)=1,2,1)</f>
        <v>0</v>
      </c>
      <c r="AL28" s="46">
        <f>VLOOKUP($B28,Form_Oitavas!$C$2:$AQ$60,39,FALSE)</f>
        <v>3</v>
      </c>
      <c r="AM28" s="48" t="s">
        <v>98</v>
      </c>
      <c r="AN28" s="46">
        <f>VLOOKUP($B28,Form_Oitavas!$C$2:$AQ$60,40,FALSE)</f>
        <v>1</v>
      </c>
      <c r="AO28" s="47" t="str">
        <f t="shared" si="17"/>
        <v>casa</v>
      </c>
      <c r="AP28" s="48">
        <f>IF(AL28=OITAVAS!AL$48,IF(OITAVAS!AN$48=AN28,Pesos!$N$6,IF(AO28=OITAVAS!AO$48,Pesos!$N$3,0)),IF(AO28=OITAVAS!AO$48,Pesos!$N$3,0))*IF(COUNTIF(AO$27:AO$47,AO28)=1,2,1)</f>
        <v>1</v>
      </c>
      <c r="AQ28" s="41"/>
      <c r="AR28" s="41">
        <f t="shared" si="18"/>
        <v>5</v>
      </c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</row>
    <row r="29" ht="14.25" customHeight="1">
      <c r="A29" s="41"/>
      <c r="B29" s="51" t="s">
        <v>17</v>
      </c>
      <c r="C29" s="46">
        <f>VLOOKUP($B29,Form_Oitavas!$C$2:$AQ$60,4,FALSE)</f>
        <v>2</v>
      </c>
      <c r="D29" s="9" t="s">
        <v>98</v>
      </c>
      <c r="E29" s="46">
        <f>VLOOKUP($B29,Form_Oitavas!$C$2:$AQ$60,5,FALSE)</f>
        <v>2</v>
      </c>
      <c r="F29" s="47" t="str">
        <f t="shared" si="10"/>
        <v>empate</v>
      </c>
      <c r="G29" s="48">
        <f>IF(C29=OITAVAS!C$48,IF(OITAVAS!E$48=E29,Pesos!$N$6,IF(F29=OITAVAS!F$48,Pesos!$N$3,0)),IF(F29=OITAVAS!F$48,Pesos!$N$3,0))*IF(COUNTIF(F$27:F$47,F29)=1,2,1)</f>
        <v>0</v>
      </c>
      <c r="H29" s="46">
        <f>VLOOKUP($B29,Form_Oitavas!$C$2:$AQ$60,9,FALSE)</f>
        <v>3</v>
      </c>
      <c r="I29" s="9" t="s">
        <v>98</v>
      </c>
      <c r="J29" s="46">
        <f>VLOOKUP($B29,Form_Oitavas!$C$2:$AQ$60,10,FALSE)</f>
        <v>0</v>
      </c>
      <c r="K29" s="47" t="str">
        <f t="shared" si="11"/>
        <v>casa</v>
      </c>
      <c r="L29" s="48">
        <f>IF(H29=OITAVAS!H$48,IF(OITAVAS!J$48=J29,Pesos!$N$6,IF(K29=OITAVAS!K$48,Pesos!$N$3,0)),IF(K29=OITAVAS!K$48,Pesos!$N$3,0))*IF(COUNTIF(K$27:K$47,K29)=1,2,1)</f>
        <v>1</v>
      </c>
      <c r="M29" s="46">
        <f>VLOOKUP($B29,Form_Oitavas!$C$2:$AQ$60,14,FALSE)</f>
        <v>1</v>
      </c>
      <c r="N29" s="9" t="s">
        <v>98</v>
      </c>
      <c r="O29" s="46">
        <f>VLOOKUP($B29,Form_Oitavas!$C$2:$AQ$60,15,FALSE)</f>
        <v>2</v>
      </c>
      <c r="P29" s="47" t="str">
        <f t="shared" si="12"/>
        <v>visita</v>
      </c>
      <c r="Q29" s="48">
        <f>IF(M29=OITAVAS!M$48,IF(OITAVAS!O$48=O29,Pesos!$N$6,IF(P29=OITAVAS!P$48,Pesos!$N$3,0)),IF(P29=OITAVAS!P$48,Pesos!$N$3,0))*IF(COUNTIF(P$27:P$47,P29)=1,2,1)</f>
        <v>6</v>
      </c>
      <c r="R29" s="46">
        <f>VLOOKUP($B29,Form_Oitavas!$C$2:$AQ$60,19,FALSE)</f>
        <v>2</v>
      </c>
      <c r="S29" s="9" t="s">
        <v>98</v>
      </c>
      <c r="T29" s="46">
        <f>VLOOKUP($B29,Form_Oitavas!$C$2:$AQ$60,20,FALSE)</f>
        <v>0</v>
      </c>
      <c r="U29" s="47" t="str">
        <f t="shared" si="13"/>
        <v>casa</v>
      </c>
      <c r="V29" s="48">
        <f>IF(R29=OITAVAS!R$48,IF(OITAVAS!T$48=T29,Pesos!$N$6,IF(U29=OITAVAS!U$48,Pesos!$N$3,0)),IF(U29=OITAVAS!U$48,Pesos!$N$3,0))*IF(COUNTIF(U$27:U$47,U29)=1,2,1)</f>
        <v>1</v>
      </c>
      <c r="W29" s="46">
        <f>VLOOKUP($B29,Form_Oitavas!$C$2:$AQ$60,24,FALSE)</f>
        <v>3</v>
      </c>
      <c r="X29" s="9" t="s">
        <v>98</v>
      </c>
      <c r="Y29" s="46">
        <f>VLOOKUP($B29,Form_Oitavas!$C$2:$AQ$60,25,FALSE)</f>
        <v>0</v>
      </c>
      <c r="Z29" s="47" t="str">
        <f t="shared" si="14"/>
        <v>casa</v>
      </c>
      <c r="AA29" s="48">
        <f>IF(W29=OITAVAS!W$48,IF(OITAVAS!Y$48=Y29,Pesos!$N$6,IF(Z29=OITAVAS!Z$48,Pesos!$N$3,0)),IF(Z29=OITAVAS!Z$48,Pesos!$N$3,0))*IF(COUNTIF(Z$27:Z$47,Z29)=1,2,1)</f>
        <v>1</v>
      </c>
      <c r="AB29" s="46">
        <f>VLOOKUP($B29,Form_Oitavas!$C$2:$AQ$60,29,FALSE)</f>
        <v>2</v>
      </c>
      <c r="AC29" s="9" t="s">
        <v>98</v>
      </c>
      <c r="AD29" s="46">
        <f>VLOOKUP($B29,Form_Oitavas!$C$2:$AQ$60,30,FALSE)</f>
        <v>3</v>
      </c>
      <c r="AE29" s="47" t="str">
        <f t="shared" si="15"/>
        <v>visita</v>
      </c>
      <c r="AF29" s="48">
        <f>IF(AB29=OITAVAS!AB$48,IF(OITAVAS!AD$48=AD29,Pesos!$N$6,IF(AE29=OITAVAS!AE$48,Pesos!$N$3,0)),IF(AE29=OITAVAS!AE$48,Pesos!$N$3,0))*IF(COUNTIF(AE$27:AE$47,AE29)=1,2,1)</f>
        <v>0</v>
      </c>
      <c r="AG29" s="46">
        <f>VLOOKUP($B29,Form_Oitavas!$C$2:$AQ$60,34,FALSE)</f>
        <v>2</v>
      </c>
      <c r="AH29" s="9" t="s">
        <v>98</v>
      </c>
      <c r="AI29" s="46">
        <f>VLOOKUP($B29,Form_Oitavas!$C$2:$AQ$60,35,FALSE)</f>
        <v>0</v>
      </c>
      <c r="AJ29" s="47" t="str">
        <f t="shared" si="16"/>
        <v>casa</v>
      </c>
      <c r="AK29" s="48">
        <f>IF(AG29=OITAVAS!AG$48,IF(OITAVAS!AI$48=AI29,Pesos!$N$6,IF(AJ29=OITAVAS!AJ$48,Pesos!$N$3,0)),IF(AJ29=OITAVAS!AJ$48,Pesos!$N$3,0))*IF(COUNTIF(AJ$27:AJ$47,AJ29)=1,2,1)</f>
        <v>1</v>
      </c>
      <c r="AL29" s="46">
        <f>VLOOKUP($B29,Form_Oitavas!$C$2:$AQ$60,39,FALSE)</f>
        <v>3</v>
      </c>
      <c r="AM29" s="9" t="s">
        <v>98</v>
      </c>
      <c r="AN29" s="46">
        <f>VLOOKUP($B29,Form_Oitavas!$C$2:$AQ$60,40,FALSE)</f>
        <v>1</v>
      </c>
      <c r="AO29" s="47" t="str">
        <f t="shared" si="17"/>
        <v>casa</v>
      </c>
      <c r="AP29" s="48">
        <f>IF(AL29=OITAVAS!AL$48,IF(OITAVAS!AN$48=AN29,Pesos!$N$6,IF(AO29=OITAVAS!AO$48,Pesos!$N$3,0)),IF(AO29=OITAVAS!AO$48,Pesos!$N$3,0))*IF(COUNTIF(AO$27:AO$47,AO29)=1,2,1)</f>
        <v>1</v>
      </c>
      <c r="AQ29" s="41"/>
      <c r="AR29" s="41">
        <f t="shared" si="18"/>
        <v>6</v>
      </c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</row>
    <row r="30" ht="14.25" customHeight="1">
      <c r="A30" s="41"/>
      <c r="B30" s="51" t="s">
        <v>3</v>
      </c>
      <c r="C30" s="46">
        <f>VLOOKUP($B30,Form_Oitavas!$C$2:$AQ$60,4,FALSE)</f>
        <v>2</v>
      </c>
      <c r="D30" s="9" t="s">
        <v>98</v>
      </c>
      <c r="E30" s="46">
        <f>VLOOKUP($B30,Form_Oitavas!$C$2:$AQ$60,5,FALSE)</f>
        <v>1</v>
      </c>
      <c r="F30" s="47" t="str">
        <f t="shared" si="10"/>
        <v>casa</v>
      </c>
      <c r="G30" s="48">
        <f>IF(C30=OITAVAS!C$48,IF(OITAVAS!E$48=E30,Pesos!$N$6,IF(F30=OITAVAS!F$48,Pesos!$N$3,0)),IF(F30=OITAVAS!F$48,Pesos!$N$3,0))*IF(COUNTIF(F$27:F$47,F30)=1,2,1)</f>
        <v>0</v>
      </c>
      <c r="H30" s="46">
        <f>VLOOKUP($B30,Form_Oitavas!$C$2:$AQ$60,9,FALSE)</f>
        <v>2</v>
      </c>
      <c r="I30" s="9" t="s">
        <v>98</v>
      </c>
      <c r="J30" s="46">
        <f>VLOOKUP($B30,Form_Oitavas!$C$2:$AQ$60,10,FALSE)</f>
        <v>0</v>
      </c>
      <c r="K30" s="47" t="str">
        <f t="shared" si="11"/>
        <v>casa</v>
      </c>
      <c r="L30" s="48">
        <f>IF(H30=OITAVAS!H$48,IF(OITAVAS!J$48=J30,Pesos!$N$6,IF(K30=OITAVAS!K$48,Pesos!$N$3,0)),IF(K30=OITAVAS!K$48,Pesos!$N$3,0))*IF(COUNTIF(K$27:K$47,K30)=1,2,1)</f>
        <v>1</v>
      </c>
      <c r="M30" s="46">
        <f>VLOOKUP($B30,Form_Oitavas!$C$2:$AQ$60,14,FALSE)</f>
        <v>2</v>
      </c>
      <c r="N30" s="9" t="s">
        <v>98</v>
      </c>
      <c r="O30" s="46">
        <f>VLOOKUP($B30,Form_Oitavas!$C$2:$AQ$60,15,FALSE)</f>
        <v>3</v>
      </c>
      <c r="P30" s="47" t="str">
        <f t="shared" si="12"/>
        <v>visita</v>
      </c>
      <c r="Q30" s="48">
        <f>IF(M30=OITAVAS!M$48,IF(OITAVAS!O$48=O30,Pesos!$N$6,IF(P30=OITAVAS!P$48,Pesos!$N$3,0)),IF(P30=OITAVAS!P$48,Pesos!$N$3,0))*IF(COUNTIF(P$27:P$47,P30)=1,2,1)</f>
        <v>1</v>
      </c>
      <c r="R30" s="46">
        <f>VLOOKUP($B30,Form_Oitavas!$C$2:$AQ$60,19,FALSE)</f>
        <v>3</v>
      </c>
      <c r="S30" s="9" t="s">
        <v>98</v>
      </c>
      <c r="T30" s="46">
        <f>VLOOKUP($B30,Form_Oitavas!$C$2:$AQ$60,20,FALSE)</f>
        <v>1</v>
      </c>
      <c r="U30" s="47" t="str">
        <f t="shared" si="13"/>
        <v>casa</v>
      </c>
      <c r="V30" s="48">
        <f>IF(R30=OITAVAS!R$48,IF(OITAVAS!T$48=T30,Pesos!$N$6,IF(U30=OITAVAS!U$48,Pesos!$N$3,0)),IF(U30=OITAVAS!U$48,Pesos!$N$3,0))*IF(COUNTIF(U$27:U$47,U30)=1,2,1)</f>
        <v>1</v>
      </c>
      <c r="W30" s="46">
        <f>VLOOKUP($B30,Form_Oitavas!$C$2:$AQ$60,24,FALSE)</f>
        <v>2</v>
      </c>
      <c r="X30" s="9" t="s">
        <v>98</v>
      </c>
      <c r="Y30" s="46">
        <f>VLOOKUP($B30,Form_Oitavas!$C$2:$AQ$60,25,FALSE)</f>
        <v>0</v>
      </c>
      <c r="Z30" s="47" t="str">
        <f t="shared" si="14"/>
        <v>casa</v>
      </c>
      <c r="AA30" s="48">
        <f>IF(W30=OITAVAS!W$48,IF(OITAVAS!Y$48=Y30,Pesos!$N$6,IF(Z30=OITAVAS!Z$48,Pesos!$N$3,0)),IF(Z30=OITAVAS!Z$48,Pesos!$N$3,0))*IF(COUNTIF(Z$27:Z$47,Z30)=1,2,1)</f>
        <v>1</v>
      </c>
      <c r="AB30" s="46">
        <f>VLOOKUP($B30,Form_Oitavas!$C$2:$AQ$60,29,FALSE)</f>
        <v>1</v>
      </c>
      <c r="AC30" s="9" t="s">
        <v>98</v>
      </c>
      <c r="AD30" s="46">
        <f>VLOOKUP($B30,Form_Oitavas!$C$2:$AQ$60,30,FALSE)</f>
        <v>2</v>
      </c>
      <c r="AE30" s="47" t="str">
        <f t="shared" si="15"/>
        <v>visita</v>
      </c>
      <c r="AF30" s="48">
        <f>IF(AB30=OITAVAS!AB$48,IF(OITAVAS!AD$48=AD30,Pesos!$N$6,IF(AE30=OITAVAS!AE$48,Pesos!$N$3,0)),IF(AE30=OITAVAS!AE$48,Pesos!$N$3,0))*IF(COUNTIF(AE$27:AE$47,AE30)=1,2,1)</f>
        <v>0</v>
      </c>
      <c r="AG30" s="46">
        <f>VLOOKUP($B30,Form_Oitavas!$C$2:$AQ$60,34,FALSE)</f>
        <v>1</v>
      </c>
      <c r="AH30" s="9" t="s">
        <v>98</v>
      </c>
      <c r="AI30" s="46">
        <f>VLOOKUP($B30,Form_Oitavas!$C$2:$AQ$60,35,FALSE)</f>
        <v>2</v>
      </c>
      <c r="AJ30" s="47" t="str">
        <f t="shared" si="16"/>
        <v>visita</v>
      </c>
      <c r="AK30" s="48">
        <f>IF(AG30=OITAVAS!AG$48,IF(OITAVAS!AI$48=AI30,Pesos!$N$6,IF(AJ30=OITAVAS!AJ$48,Pesos!$N$3,0)),IF(AJ30=OITAVAS!AJ$48,Pesos!$N$3,0))*IF(COUNTIF(AJ$27:AJ$47,AJ30)=1,2,1)</f>
        <v>0</v>
      </c>
      <c r="AL30" s="46">
        <f>VLOOKUP($B30,Form_Oitavas!$C$2:$AQ$60,39,FALSE)</f>
        <v>2</v>
      </c>
      <c r="AM30" s="9" t="s">
        <v>98</v>
      </c>
      <c r="AN30" s="46">
        <f>VLOOKUP($B30,Form_Oitavas!$C$2:$AQ$60,40,FALSE)</f>
        <v>0</v>
      </c>
      <c r="AO30" s="47" t="str">
        <f t="shared" si="17"/>
        <v>casa</v>
      </c>
      <c r="AP30" s="48">
        <f>IF(AL30=OITAVAS!AL$48,IF(OITAVAS!AN$48=AN30,Pesos!$N$6,IF(AO30=OITAVAS!AO$48,Pesos!$N$3,0)),IF(AO30=OITAVAS!AO$48,Pesos!$N$3,0))*IF(COUNTIF(AO$27:AO$47,AO30)=1,2,1)</f>
        <v>6</v>
      </c>
      <c r="AQ30" s="41"/>
      <c r="AR30" s="41">
        <f t="shared" si="18"/>
        <v>5</v>
      </c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</row>
    <row r="31" ht="14.25" customHeight="1">
      <c r="A31" s="41"/>
      <c r="B31" s="51" t="s">
        <v>13</v>
      </c>
      <c r="C31" s="46">
        <f>VLOOKUP($B31,Form_Oitavas!$C$2:$AQ$60,4,FALSE)</f>
        <v>1</v>
      </c>
      <c r="D31" s="9" t="s">
        <v>98</v>
      </c>
      <c r="E31" s="46">
        <f>VLOOKUP($B31,Form_Oitavas!$C$2:$AQ$60,5,FALSE)</f>
        <v>1</v>
      </c>
      <c r="F31" s="47" t="str">
        <f t="shared" si="10"/>
        <v>empate</v>
      </c>
      <c r="G31" s="48">
        <f>IF(C31=OITAVAS!C$48,IF(OITAVAS!E$48=E31,Pesos!$N$6,IF(F31=OITAVAS!F$48,Pesos!$N$3,0)),IF(F31=OITAVAS!F$48,Pesos!$N$3,0))*IF(COUNTIF(F$27:F$47,F31)=1,2,1)</f>
        <v>0</v>
      </c>
      <c r="H31" s="46">
        <f>VLOOKUP($B31,Form_Oitavas!$C$2:$AQ$60,9,FALSE)</f>
        <v>2</v>
      </c>
      <c r="I31" s="9" t="s">
        <v>98</v>
      </c>
      <c r="J31" s="46">
        <f>VLOOKUP($B31,Form_Oitavas!$C$2:$AQ$60,10,FALSE)</f>
        <v>0</v>
      </c>
      <c r="K31" s="47" t="str">
        <f t="shared" si="11"/>
        <v>casa</v>
      </c>
      <c r="L31" s="48">
        <f>IF(H31=OITAVAS!H$48,IF(OITAVAS!J$48=J31,Pesos!$N$6,IF(K31=OITAVAS!K$48,Pesos!$N$3,0)),IF(K31=OITAVAS!K$48,Pesos!$N$3,0))*IF(COUNTIF(K$27:K$47,K31)=1,2,1)</f>
        <v>1</v>
      </c>
      <c r="M31" s="46">
        <f>VLOOKUP($B31,Form_Oitavas!$C$2:$AQ$60,14,FALSE)</f>
        <v>2</v>
      </c>
      <c r="N31" s="9" t="s">
        <v>98</v>
      </c>
      <c r="O31" s="46">
        <f>VLOOKUP($B31,Form_Oitavas!$C$2:$AQ$60,15,FALSE)</f>
        <v>0</v>
      </c>
      <c r="P31" s="47" t="str">
        <f t="shared" si="12"/>
        <v>casa</v>
      </c>
      <c r="Q31" s="48">
        <f>IF(M31=OITAVAS!M$48,IF(OITAVAS!O$48=O31,Pesos!$N$6,IF(P31=OITAVAS!P$48,Pesos!$N$3,0)),IF(P31=OITAVAS!P$48,Pesos!$N$3,0))*IF(COUNTIF(P$27:P$47,P31)=1,2,1)</f>
        <v>0</v>
      </c>
      <c r="R31" s="46">
        <f>VLOOKUP($B31,Form_Oitavas!$C$2:$AQ$60,19,FALSE)</f>
        <v>2</v>
      </c>
      <c r="S31" s="9" t="s">
        <v>98</v>
      </c>
      <c r="T31" s="46">
        <f>VLOOKUP($B31,Form_Oitavas!$C$2:$AQ$60,20,FALSE)</f>
        <v>0</v>
      </c>
      <c r="U31" s="47" t="str">
        <f t="shared" si="13"/>
        <v>casa</v>
      </c>
      <c r="V31" s="48">
        <f>IF(R31=OITAVAS!R$48,IF(OITAVAS!T$48=T31,Pesos!$N$6,IF(U31=OITAVAS!U$48,Pesos!$N$3,0)),IF(U31=OITAVAS!U$48,Pesos!$N$3,0))*IF(COUNTIF(U$27:U$47,U31)=1,2,1)</f>
        <v>1</v>
      </c>
      <c r="W31" s="46">
        <f>VLOOKUP($B31,Form_Oitavas!$C$2:$AQ$60,24,FALSE)</f>
        <v>2</v>
      </c>
      <c r="X31" s="9" t="s">
        <v>98</v>
      </c>
      <c r="Y31" s="46">
        <f>VLOOKUP($B31,Form_Oitavas!$C$2:$AQ$60,25,FALSE)</f>
        <v>0</v>
      </c>
      <c r="Z31" s="47" t="str">
        <f t="shared" si="14"/>
        <v>casa</v>
      </c>
      <c r="AA31" s="48">
        <f>IF(W31=OITAVAS!W$48,IF(OITAVAS!Y$48=Y31,Pesos!$N$6,IF(Z31=OITAVAS!Z$48,Pesos!$N$3,0)),IF(Z31=OITAVAS!Z$48,Pesos!$N$3,0))*IF(COUNTIF(Z$27:Z$47,Z31)=1,2,1)</f>
        <v>1</v>
      </c>
      <c r="AB31" s="46">
        <f>VLOOKUP($B31,Form_Oitavas!$C$2:$AQ$60,29,FALSE)</f>
        <v>1</v>
      </c>
      <c r="AC31" s="9" t="s">
        <v>98</v>
      </c>
      <c r="AD31" s="46">
        <f>VLOOKUP($B31,Form_Oitavas!$C$2:$AQ$60,30,FALSE)</f>
        <v>1</v>
      </c>
      <c r="AE31" s="47" t="str">
        <f t="shared" si="15"/>
        <v>empate</v>
      </c>
      <c r="AF31" s="48">
        <f>IF(AB31=OITAVAS!AB$48,IF(OITAVAS!AD$48=AD31,Pesos!$N$6,IF(AE31=OITAVAS!AE$48,Pesos!$N$3,0)),IF(AE31=OITAVAS!AE$48,Pesos!$N$3,0))*IF(COUNTIF(AE$27:AE$47,AE31)=1,2,1)</f>
        <v>0</v>
      </c>
      <c r="AG31" s="46">
        <f>VLOOKUP($B31,Form_Oitavas!$C$2:$AQ$60,34,FALSE)</f>
        <v>3</v>
      </c>
      <c r="AH31" s="9" t="s">
        <v>98</v>
      </c>
      <c r="AI31" s="46">
        <f>VLOOKUP($B31,Form_Oitavas!$C$2:$AQ$60,35,FALSE)</f>
        <v>1</v>
      </c>
      <c r="AJ31" s="47" t="str">
        <f t="shared" si="16"/>
        <v>casa</v>
      </c>
      <c r="AK31" s="48">
        <f>IF(AG31=OITAVAS!AG$48,IF(OITAVAS!AI$48=AI31,Pesos!$N$6,IF(AJ31=OITAVAS!AJ$48,Pesos!$N$3,0)),IF(AJ31=OITAVAS!AJ$48,Pesos!$N$3,0))*IF(COUNTIF(AJ$27:AJ$47,AJ31)=1,2,1)</f>
        <v>1</v>
      </c>
      <c r="AL31" s="46">
        <f>VLOOKUP($B31,Form_Oitavas!$C$2:$AQ$60,39,FALSE)</f>
        <v>2</v>
      </c>
      <c r="AM31" s="9" t="s">
        <v>98</v>
      </c>
      <c r="AN31" s="46">
        <f>VLOOKUP($B31,Form_Oitavas!$C$2:$AQ$60,40,FALSE)</f>
        <v>0</v>
      </c>
      <c r="AO31" s="47" t="str">
        <f t="shared" si="17"/>
        <v>casa</v>
      </c>
      <c r="AP31" s="48">
        <f>IF(AL31=OITAVAS!AL$48,IF(OITAVAS!AN$48=AN31,Pesos!$N$6,IF(AO31=OITAVAS!AO$48,Pesos!$N$3,0)),IF(AO31=OITAVAS!AO$48,Pesos!$N$3,0))*IF(COUNTIF(AO$27:AO$47,AO31)=1,2,1)</f>
        <v>6</v>
      </c>
      <c r="AQ31" s="41"/>
      <c r="AR31" s="41">
        <f t="shared" si="18"/>
        <v>5</v>
      </c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</row>
    <row r="32" ht="13.5" customHeight="1">
      <c r="A32" s="41"/>
      <c r="B32" s="51" t="s">
        <v>14</v>
      </c>
      <c r="C32" s="46">
        <f>VLOOKUP($B32,Form_Oitavas!$C$2:$AQ$60,4,FALSE)</f>
        <v>2</v>
      </c>
      <c r="D32" s="9" t="s">
        <v>98</v>
      </c>
      <c r="E32" s="46">
        <f>VLOOKUP($B32,Form_Oitavas!$C$2:$AQ$60,5,FALSE)</f>
        <v>0</v>
      </c>
      <c r="F32" s="47" t="str">
        <f t="shared" si="10"/>
        <v>casa</v>
      </c>
      <c r="G32" s="48">
        <f>IF(C32=OITAVAS!C$48,IF(OITAVAS!E$48=E32,Pesos!$N$6,IF(F32=OITAVAS!F$48,Pesos!$N$3,0)),IF(F32=OITAVAS!F$48,Pesos!$N$3,0))*IF(COUNTIF(F$27:F$47,F32)=1,2,1)</f>
        <v>0</v>
      </c>
      <c r="H32" s="46">
        <f>VLOOKUP($B32,Form_Oitavas!$C$2:$AQ$60,9,FALSE)</f>
        <v>3</v>
      </c>
      <c r="I32" s="9" t="s">
        <v>98</v>
      </c>
      <c r="J32" s="46">
        <f>VLOOKUP($B32,Form_Oitavas!$C$2:$AQ$60,10,FALSE)</f>
        <v>1</v>
      </c>
      <c r="K32" s="47" t="str">
        <f t="shared" si="11"/>
        <v>casa</v>
      </c>
      <c r="L32" s="48">
        <f>IF(H32=OITAVAS!H$48,IF(OITAVAS!J$48=J32,Pesos!$N$6,IF(K32=OITAVAS!K$48,Pesos!$N$3,0)),IF(K32=OITAVAS!K$48,Pesos!$N$3,0))*IF(COUNTIF(K$27:K$47,K32)=1,2,1)</f>
        <v>1</v>
      </c>
      <c r="M32" s="46">
        <f>VLOOKUP($B32,Form_Oitavas!$C$2:$AQ$60,14,FALSE)</f>
        <v>2</v>
      </c>
      <c r="N32" s="9" t="s">
        <v>98</v>
      </c>
      <c r="O32" s="46">
        <f>VLOOKUP($B32,Form_Oitavas!$C$2:$AQ$60,15,FALSE)</f>
        <v>2</v>
      </c>
      <c r="P32" s="47" t="str">
        <f t="shared" si="12"/>
        <v>empate</v>
      </c>
      <c r="Q32" s="48">
        <f>IF(M32=OITAVAS!M$48,IF(OITAVAS!O$48=O32,Pesos!$N$6,IF(P32=OITAVAS!P$48,Pesos!$N$3,0)),IF(P32=OITAVAS!P$48,Pesos!$N$3,0))*IF(COUNTIF(P$27:P$47,P32)=1,2,1)</f>
        <v>0</v>
      </c>
      <c r="R32" s="46">
        <f>VLOOKUP($B32,Form_Oitavas!$C$2:$AQ$60,19,FALSE)</f>
        <v>2</v>
      </c>
      <c r="S32" s="9" t="s">
        <v>98</v>
      </c>
      <c r="T32" s="46">
        <f>VLOOKUP($B32,Form_Oitavas!$C$2:$AQ$60,20,FALSE)</f>
        <v>0</v>
      </c>
      <c r="U32" s="47" t="str">
        <f t="shared" si="13"/>
        <v>casa</v>
      </c>
      <c r="V32" s="48">
        <f>IF(R32=OITAVAS!R$48,IF(OITAVAS!T$48=T32,Pesos!$N$6,IF(U32=OITAVAS!U$48,Pesos!$N$3,0)),IF(U32=OITAVAS!U$48,Pesos!$N$3,0))*IF(COUNTIF(U$27:U$47,U32)=1,2,1)</f>
        <v>1</v>
      </c>
      <c r="W32" s="46">
        <f>VLOOKUP($B32,Form_Oitavas!$C$2:$AQ$60,24,FALSE)</f>
        <v>4</v>
      </c>
      <c r="X32" s="9" t="s">
        <v>98</v>
      </c>
      <c r="Y32" s="46">
        <f>VLOOKUP($B32,Form_Oitavas!$C$2:$AQ$60,25,FALSE)</f>
        <v>1</v>
      </c>
      <c r="Z32" s="47" t="str">
        <f t="shared" si="14"/>
        <v>casa</v>
      </c>
      <c r="AA32" s="48">
        <f>IF(W32=OITAVAS!W$48,IF(OITAVAS!Y$48=Y32,Pesos!$N$6,IF(Z32=OITAVAS!Z$48,Pesos!$N$3,0)),IF(Z32=OITAVAS!Z$48,Pesos!$N$3,0))*IF(COUNTIF(Z$27:Z$47,Z32)=1,2,1)</f>
        <v>1</v>
      </c>
      <c r="AB32" s="46">
        <f>VLOOKUP($B32,Form_Oitavas!$C$2:$AQ$60,29,FALSE)</f>
        <v>1</v>
      </c>
      <c r="AC32" s="9" t="s">
        <v>98</v>
      </c>
      <c r="AD32" s="46">
        <f>VLOOKUP($B32,Form_Oitavas!$C$2:$AQ$60,30,FALSE)</f>
        <v>1</v>
      </c>
      <c r="AE32" s="47" t="str">
        <f t="shared" si="15"/>
        <v>empate</v>
      </c>
      <c r="AF32" s="48">
        <f>IF(AB32=OITAVAS!AB$48,IF(OITAVAS!AD$48=AD32,Pesos!$N$6,IF(AE32=OITAVAS!AE$48,Pesos!$N$3,0)),IF(AE32=OITAVAS!AE$48,Pesos!$N$3,0))*IF(COUNTIF(AE$27:AE$47,AE32)=1,2,1)</f>
        <v>0</v>
      </c>
      <c r="AG32" s="46">
        <f>VLOOKUP($B32,Form_Oitavas!$C$2:$AQ$60,34,FALSE)</f>
        <v>1</v>
      </c>
      <c r="AH32" s="9" t="s">
        <v>98</v>
      </c>
      <c r="AI32" s="46">
        <f>VLOOKUP($B32,Form_Oitavas!$C$2:$AQ$60,35,FALSE)</f>
        <v>2</v>
      </c>
      <c r="AJ32" s="47" t="str">
        <f t="shared" si="16"/>
        <v>visita</v>
      </c>
      <c r="AK32" s="48">
        <f>IF(AG32=OITAVAS!AG$48,IF(OITAVAS!AI$48=AI32,Pesos!$N$6,IF(AJ32=OITAVAS!AJ$48,Pesos!$N$3,0)),IF(AJ32=OITAVAS!AJ$48,Pesos!$N$3,0))*IF(COUNTIF(AJ$27:AJ$47,AJ32)=1,2,1)</f>
        <v>0</v>
      </c>
      <c r="AL32" s="46">
        <f>VLOOKUP($B32,Form_Oitavas!$C$2:$AQ$60,39,FALSE)</f>
        <v>2</v>
      </c>
      <c r="AM32" s="9" t="s">
        <v>98</v>
      </c>
      <c r="AN32" s="46">
        <f>VLOOKUP($B32,Form_Oitavas!$C$2:$AQ$60,40,FALSE)</f>
        <v>0</v>
      </c>
      <c r="AO32" s="47" t="str">
        <f t="shared" si="17"/>
        <v>casa</v>
      </c>
      <c r="AP32" s="48">
        <f>IF(AL32=OITAVAS!AL$48,IF(OITAVAS!AN$48=AN32,Pesos!$N$6,IF(AO32=OITAVAS!AO$48,Pesos!$N$3,0)),IF(AO32=OITAVAS!AO$48,Pesos!$N$3,0))*IF(COUNTIF(AO$27:AO$47,AO32)=1,2,1)</f>
        <v>6</v>
      </c>
      <c r="AQ32" s="41"/>
      <c r="AR32" s="41">
        <f t="shared" si="18"/>
        <v>4</v>
      </c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</row>
    <row r="33" ht="14.25" customHeight="1">
      <c r="A33" s="41"/>
      <c r="B33" s="51" t="s">
        <v>6</v>
      </c>
      <c r="C33" s="46">
        <f>VLOOKUP($B33,Form_Oitavas!$C$2:$AQ$60,4,FALSE)</f>
        <v>1</v>
      </c>
      <c r="D33" s="48" t="s">
        <v>98</v>
      </c>
      <c r="E33" s="46">
        <f>VLOOKUP($B33,Form_Oitavas!$C$2:$AQ$60,5,FALSE)</f>
        <v>2</v>
      </c>
      <c r="F33" s="47" t="str">
        <f t="shared" si="10"/>
        <v>visita</v>
      </c>
      <c r="G33" s="48">
        <f>IF(C33=OITAVAS!C$48,IF(OITAVAS!E$48=E33,Pesos!$N$6,IF(F33=OITAVAS!F$48,Pesos!$N$3,0)),IF(F33=OITAVAS!F$48,Pesos!$N$3,0))*IF(COUNTIF(F$27:F$47,F33)=1,2,1)</f>
        <v>1</v>
      </c>
      <c r="H33" s="46">
        <f>VLOOKUP($B33,Form_Oitavas!$C$2:$AQ$60,9,FALSE)</f>
        <v>2</v>
      </c>
      <c r="I33" s="48" t="s">
        <v>98</v>
      </c>
      <c r="J33" s="46">
        <f>VLOOKUP($B33,Form_Oitavas!$C$2:$AQ$60,10,FALSE)</f>
        <v>0</v>
      </c>
      <c r="K33" s="47" t="str">
        <f t="shared" si="11"/>
        <v>casa</v>
      </c>
      <c r="L33" s="48">
        <f>IF(H33=OITAVAS!H$48,IF(OITAVAS!J$48=J33,Pesos!$N$6,IF(K33=OITAVAS!K$48,Pesos!$N$3,0)),IF(K33=OITAVAS!K$48,Pesos!$N$3,0))*IF(COUNTIF(K$27:K$47,K33)=1,2,1)</f>
        <v>1</v>
      </c>
      <c r="M33" s="46">
        <f>VLOOKUP($B33,Form_Oitavas!$C$2:$AQ$60,14,FALSE)</f>
        <v>3</v>
      </c>
      <c r="N33" s="48" t="s">
        <v>98</v>
      </c>
      <c r="O33" s="46">
        <f>VLOOKUP($B33,Form_Oitavas!$C$2:$AQ$60,15,FALSE)</f>
        <v>2</v>
      </c>
      <c r="P33" s="47" t="str">
        <f t="shared" si="12"/>
        <v>casa</v>
      </c>
      <c r="Q33" s="48">
        <f>IF(M33=OITAVAS!M$48,IF(OITAVAS!O$48=O33,Pesos!$N$6,IF(P33=OITAVAS!P$48,Pesos!$N$3,0)),IF(P33=OITAVAS!P$48,Pesos!$N$3,0))*IF(COUNTIF(P$27:P$47,P33)=1,2,1)</f>
        <v>0</v>
      </c>
      <c r="R33" s="46">
        <f>VLOOKUP($B33,Form_Oitavas!$C$2:$AQ$60,19,FALSE)</f>
        <v>4</v>
      </c>
      <c r="S33" s="48" t="s">
        <v>98</v>
      </c>
      <c r="T33" s="46">
        <f>VLOOKUP($B33,Form_Oitavas!$C$2:$AQ$60,20,FALSE)</f>
        <v>1</v>
      </c>
      <c r="U33" s="47" t="str">
        <f t="shared" si="13"/>
        <v>casa</v>
      </c>
      <c r="V33" s="48">
        <f>IF(R33=OITAVAS!R$48,IF(OITAVAS!T$48=T33,Pesos!$N$6,IF(U33=OITAVAS!U$48,Pesos!$N$3,0)),IF(U33=OITAVAS!U$48,Pesos!$N$3,0))*IF(COUNTIF(U$27:U$47,U33)=1,2,1)</f>
        <v>6</v>
      </c>
      <c r="W33" s="46">
        <f>VLOOKUP($B33,Form_Oitavas!$C$2:$AQ$60,24,FALSE)</f>
        <v>4</v>
      </c>
      <c r="X33" s="48" t="s">
        <v>98</v>
      </c>
      <c r="Y33" s="46">
        <f>VLOOKUP($B33,Form_Oitavas!$C$2:$AQ$60,25,FALSE)</f>
        <v>2</v>
      </c>
      <c r="Z33" s="47" t="str">
        <f t="shared" si="14"/>
        <v>casa</v>
      </c>
      <c r="AA33" s="48">
        <f>IF(W33=OITAVAS!W$48,IF(OITAVAS!Y$48=Y33,Pesos!$N$6,IF(Z33=OITAVAS!Z$48,Pesos!$N$3,0)),IF(Z33=OITAVAS!Z$48,Pesos!$N$3,0))*IF(COUNTIF(Z$27:Z$47,Z33)=1,2,1)</f>
        <v>1</v>
      </c>
      <c r="AB33" s="46">
        <f>VLOOKUP($B33,Form_Oitavas!$C$2:$AQ$60,29,FALSE)</f>
        <v>0</v>
      </c>
      <c r="AC33" s="48" t="s">
        <v>98</v>
      </c>
      <c r="AD33" s="46">
        <f>VLOOKUP($B33,Form_Oitavas!$C$2:$AQ$60,30,FALSE)</f>
        <v>2</v>
      </c>
      <c r="AE33" s="47" t="str">
        <f t="shared" si="15"/>
        <v>visita</v>
      </c>
      <c r="AF33" s="48">
        <f>IF(AB33=OITAVAS!AB$48,IF(OITAVAS!AD$48=AD33,Pesos!$N$6,IF(AE33=OITAVAS!AE$48,Pesos!$N$3,0)),IF(AE33=OITAVAS!AE$48,Pesos!$N$3,0))*IF(COUNTIF(AE$27:AE$47,AE33)=1,2,1)</f>
        <v>0</v>
      </c>
      <c r="AG33" s="46">
        <f>VLOOKUP($B33,Form_Oitavas!$C$2:$AQ$60,34,FALSE)</f>
        <v>1</v>
      </c>
      <c r="AH33" s="48" t="s">
        <v>98</v>
      </c>
      <c r="AI33" s="46">
        <f>VLOOKUP($B33,Form_Oitavas!$C$2:$AQ$60,35,FALSE)</f>
        <v>1</v>
      </c>
      <c r="AJ33" s="47" t="str">
        <f t="shared" si="16"/>
        <v>empate</v>
      </c>
      <c r="AK33" s="48">
        <f>IF(AG33=OITAVAS!AG$48,IF(OITAVAS!AI$48=AI33,Pesos!$N$6,IF(AJ33=OITAVAS!AJ$48,Pesos!$N$3,0)),IF(AJ33=OITAVAS!AJ$48,Pesos!$N$3,0))*IF(COUNTIF(AJ$27:AJ$47,AJ33)=1,2,1)</f>
        <v>0</v>
      </c>
      <c r="AL33" s="46">
        <f>VLOOKUP($B33,Form_Oitavas!$C$2:$AQ$60,39,FALSE)</f>
        <v>3</v>
      </c>
      <c r="AM33" s="48" t="s">
        <v>98</v>
      </c>
      <c r="AN33" s="46">
        <f>VLOOKUP($B33,Form_Oitavas!$C$2:$AQ$60,40,FALSE)</f>
        <v>1</v>
      </c>
      <c r="AO33" s="47" t="str">
        <f t="shared" si="17"/>
        <v>casa</v>
      </c>
      <c r="AP33" s="48">
        <f>IF(AL33=OITAVAS!AL$48,IF(OITAVAS!AN$48=AN33,Pesos!$N$6,IF(AO33=OITAVAS!AO$48,Pesos!$N$3,0)),IF(AO33=OITAVAS!AO$48,Pesos!$N$3,0))*IF(COUNTIF(AO$27:AO$47,AO33)=1,2,1)</f>
        <v>1</v>
      </c>
      <c r="AQ33" s="41"/>
      <c r="AR33" s="41">
        <f t="shared" si="18"/>
        <v>5</v>
      </c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</row>
    <row r="34" ht="14.25" customHeight="1">
      <c r="A34" s="41"/>
      <c r="B34" s="51" t="s">
        <v>5</v>
      </c>
      <c r="C34" s="46">
        <f>VLOOKUP($B34,Form_Oitavas!$C$2:$AQ$60,4,FALSE)</f>
        <v>2</v>
      </c>
      <c r="D34" s="48" t="s">
        <v>98</v>
      </c>
      <c r="E34" s="46">
        <f>VLOOKUP($B34,Form_Oitavas!$C$2:$AQ$60,5,FALSE)</f>
        <v>1</v>
      </c>
      <c r="F34" s="47" t="str">
        <f t="shared" si="10"/>
        <v>casa</v>
      </c>
      <c r="G34" s="48">
        <f>IF(C34=OITAVAS!C$48,IF(OITAVAS!E$48=E34,Pesos!$N$6,IF(F34=OITAVAS!F$48,Pesos!$N$3,0)),IF(F34=OITAVAS!F$48,Pesos!$N$3,0))*IF(COUNTIF(F$27:F$47,F34)=1,2,1)</f>
        <v>0</v>
      </c>
      <c r="H34" s="46">
        <f>VLOOKUP($B34,Form_Oitavas!$C$2:$AQ$60,9,FALSE)</f>
        <v>2</v>
      </c>
      <c r="I34" s="48" t="s">
        <v>98</v>
      </c>
      <c r="J34" s="46">
        <f>VLOOKUP($B34,Form_Oitavas!$C$2:$AQ$60,10,FALSE)</f>
        <v>0</v>
      </c>
      <c r="K34" s="47" t="str">
        <f t="shared" si="11"/>
        <v>casa</v>
      </c>
      <c r="L34" s="48">
        <f>IF(H34=OITAVAS!H$48,IF(OITAVAS!J$48=J34,Pesos!$N$6,IF(K34=OITAVAS!K$48,Pesos!$N$3,0)),IF(K34=OITAVAS!K$48,Pesos!$N$3,0))*IF(COUNTIF(K$27:K$47,K34)=1,2,1)</f>
        <v>1</v>
      </c>
      <c r="M34" s="46">
        <f>VLOOKUP($B34,Form_Oitavas!$C$2:$AQ$60,14,FALSE)</f>
        <v>2</v>
      </c>
      <c r="N34" s="48" t="s">
        <v>98</v>
      </c>
      <c r="O34" s="46">
        <f>VLOOKUP($B34,Form_Oitavas!$C$2:$AQ$60,15,FALSE)</f>
        <v>2</v>
      </c>
      <c r="P34" s="47" t="str">
        <f t="shared" si="12"/>
        <v>empate</v>
      </c>
      <c r="Q34" s="48">
        <f>IF(M34=OITAVAS!M$48,IF(OITAVAS!O$48=O34,Pesos!$N$6,IF(P34=OITAVAS!P$48,Pesos!$N$3,0)),IF(P34=OITAVAS!P$48,Pesos!$N$3,0))*IF(COUNTIF(P$27:P$47,P34)=1,2,1)</f>
        <v>0</v>
      </c>
      <c r="R34" s="46">
        <f>VLOOKUP($B34,Form_Oitavas!$C$2:$AQ$60,19,FALSE)</f>
        <v>4</v>
      </c>
      <c r="S34" s="48" t="s">
        <v>98</v>
      </c>
      <c r="T34" s="46">
        <f>VLOOKUP($B34,Form_Oitavas!$C$2:$AQ$60,20,FALSE)</f>
        <v>1</v>
      </c>
      <c r="U34" s="47" t="str">
        <f t="shared" si="13"/>
        <v>casa</v>
      </c>
      <c r="V34" s="48">
        <f>IF(R34=OITAVAS!R$48,IF(OITAVAS!T$48=T34,Pesos!$N$6,IF(U34=OITAVAS!U$48,Pesos!$N$3,0)),IF(U34=OITAVAS!U$48,Pesos!$N$3,0))*IF(COUNTIF(U$27:U$47,U34)=1,2,1)</f>
        <v>6</v>
      </c>
      <c r="W34" s="46">
        <f>VLOOKUP($B34,Form_Oitavas!$C$2:$AQ$60,24,FALSE)</f>
        <v>2</v>
      </c>
      <c r="X34" s="48" t="s">
        <v>98</v>
      </c>
      <c r="Y34" s="46">
        <f>VLOOKUP($B34,Form_Oitavas!$C$2:$AQ$60,25,FALSE)</f>
        <v>0</v>
      </c>
      <c r="Z34" s="47" t="str">
        <f t="shared" si="14"/>
        <v>casa</v>
      </c>
      <c r="AA34" s="48">
        <f>IF(W34=OITAVAS!W$48,IF(OITAVAS!Y$48=Y34,Pesos!$N$6,IF(Z34=OITAVAS!Z$48,Pesos!$N$3,0)),IF(Z34=OITAVAS!Z$48,Pesos!$N$3,0))*IF(COUNTIF(Z$27:Z$47,Z34)=1,2,1)</f>
        <v>1</v>
      </c>
      <c r="AB34" s="46">
        <f>VLOOKUP($B34,Form_Oitavas!$C$2:$AQ$60,29,FALSE)</f>
        <v>1</v>
      </c>
      <c r="AC34" s="48" t="s">
        <v>98</v>
      </c>
      <c r="AD34" s="46">
        <f>VLOOKUP($B34,Form_Oitavas!$C$2:$AQ$60,30,FALSE)</f>
        <v>2</v>
      </c>
      <c r="AE34" s="47" t="str">
        <f t="shared" si="15"/>
        <v>visita</v>
      </c>
      <c r="AF34" s="48">
        <f>IF(AB34=OITAVAS!AB$48,IF(OITAVAS!AD$48=AD34,Pesos!$N$6,IF(AE34=OITAVAS!AE$48,Pesos!$N$3,0)),IF(AE34=OITAVAS!AE$48,Pesos!$N$3,0))*IF(COUNTIF(AE$27:AE$47,AE34)=1,2,1)</f>
        <v>0</v>
      </c>
      <c r="AG34" s="46">
        <f>VLOOKUP($B34,Form_Oitavas!$C$2:$AQ$60,34,FALSE)</f>
        <v>1</v>
      </c>
      <c r="AH34" s="48" t="s">
        <v>98</v>
      </c>
      <c r="AI34" s="46">
        <f>VLOOKUP($B34,Form_Oitavas!$C$2:$AQ$60,35,FALSE)</f>
        <v>1</v>
      </c>
      <c r="AJ34" s="47" t="str">
        <f t="shared" si="16"/>
        <v>empate</v>
      </c>
      <c r="AK34" s="48">
        <f>IF(AG34=OITAVAS!AG$48,IF(OITAVAS!AI$48=AI34,Pesos!$N$6,IF(AJ34=OITAVAS!AJ$48,Pesos!$N$3,0)),IF(AJ34=OITAVAS!AJ$48,Pesos!$N$3,0))*IF(COUNTIF(AJ$27:AJ$47,AJ34)=1,2,1)</f>
        <v>0</v>
      </c>
      <c r="AL34" s="46">
        <f>VLOOKUP($B34,Form_Oitavas!$C$2:$AQ$60,39,FALSE)</f>
        <v>2</v>
      </c>
      <c r="AM34" s="48" t="s">
        <v>98</v>
      </c>
      <c r="AN34" s="46">
        <f>VLOOKUP($B34,Form_Oitavas!$C$2:$AQ$60,40,FALSE)</f>
        <v>0</v>
      </c>
      <c r="AO34" s="47" t="str">
        <f t="shared" si="17"/>
        <v>casa</v>
      </c>
      <c r="AP34" s="48">
        <f>IF(AL34=OITAVAS!AL$48,IF(OITAVAS!AN$48=AN34,Pesos!$N$6,IF(AO34=OITAVAS!AO$48,Pesos!$N$3,0)),IF(AO34=OITAVAS!AO$48,Pesos!$N$3,0))*IF(COUNTIF(AO$27:AO$47,AO34)=1,2,1)</f>
        <v>6</v>
      </c>
      <c r="AQ34" s="41"/>
      <c r="AR34" s="41">
        <f t="shared" si="18"/>
        <v>4</v>
      </c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</row>
    <row r="35" ht="14.25" customHeight="1">
      <c r="A35" s="41"/>
      <c r="B35" s="51" t="s">
        <v>4</v>
      </c>
      <c r="C35" s="46">
        <f>VLOOKUP($B35,Form_Oitavas!$C$2:$AQ$60,4,FALSE)</f>
        <v>1</v>
      </c>
      <c r="D35" s="9" t="s">
        <v>98</v>
      </c>
      <c r="E35" s="46">
        <f>VLOOKUP($B35,Form_Oitavas!$C$2:$AQ$60,5,FALSE)</f>
        <v>2</v>
      </c>
      <c r="F35" s="47" t="str">
        <f t="shared" si="10"/>
        <v>visita</v>
      </c>
      <c r="G35" s="48">
        <f>IF(C35=OITAVAS!C$48,IF(OITAVAS!E$48=E35,Pesos!$N$6,IF(F35=OITAVAS!F$48,Pesos!$N$3,0)),IF(F35=OITAVAS!F$48,Pesos!$N$3,0))*IF(COUNTIF(F$27:F$47,F35)=1,2,1)</f>
        <v>1</v>
      </c>
      <c r="H35" s="46">
        <f>VLOOKUP($B35,Form_Oitavas!$C$2:$AQ$60,9,FALSE)</f>
        <v>3</v>
      </c>
      <c r="I35" s="9" t="s">
        <v>98</v>
      </c>
      <c r="J35" s="46">
        <f>VLOOKUP($B35,Form_Oitavas!$C$2:$AQ$60,10,FALSE)</f>
        <v>1</v>
      </c>
      <c r="K35" s="47" t="str">
        <f t="shared" si="11"/>
        <v>casa</v>
      </c>
      <c r="L35" s="48">
        <f>IF(H35=OITAVAS!H$48,IF(OITAVAS!J$48=J35,Pesos!$N$6,IF(K35=OITAVAS!K$48,Pesos!$N$3,0)),IF(K35=OITAVAS!K$48,Pesos!$N$3,0))*IF(COUNTIF(K$27:K$47,K35)=1,2,1)</f>
        <v>1</v>
      </c>
      <c r="M35" s="46">
        <f>VLOOKUP($B35,Form_Oitavas!$C$2:$AQ$60,14,FALSE)</f>
        <v>2</v>
      </c>
      <c r="N35" s="9" t="s">
        <v>98</v>
      </c>
      <c r="O35" s="46">
        <f>VLOOKUP($B35,Form_Oitavas!$C$2:$AQ$60,15,FALSE)</f>
        <v>2</v>
      </c>
      <c r="P35" s="47" t="str">
        <f t="shared" si="12"/>
        <v>empate</v>
      </c>
      <c r="Q35" s="48">
        <f>IF(M35=OITAVAS!M$48,IF(OITAVAS!O$48=O35,Pesos!$N$6,IF(P35=OITAVAS!P$48,Pesos!$N$3,0)),IF(P35=OITAVAS!P$48,Pesos!$N$3,0))*IF(COUNTIF(P$27:P$47,P35)=1,2,1)</f>
        <v>0</v>
      </c>
      <c r="R35" s="46">
        <f>VLOOKUP($B35,Form_Oitavas!$C$2:$AQ$60,19,FALSE)</f>
        <v>2</v>
      </c>
      <c r="S35" s="9" t="s">
        <v>98</v>
      </c>
      <c r="T35" s="46">
        <f>VLOOKUP($B35,Form_Oitavas!$C$2:$AQ$60,20,FALSE)</f>
        <v>0</v>
      </c>
      <c r="U35" s="47" t="str">
        <f t="shared" si="13"/>
        <v>casa</v>
      </c>
      <c r="V35" s="48">
        <f>IF(R35=OITAVAS!R$48,IF(OITAVAS!T$48=T35,Pesos!$N$6,IF(U35=OITAVAS!U$48,Pesos!$N$3,0)),IF(U35=OITAVAS!U$48,Pesos!$N$3,0))*IF(COUNTIF(U$27:U$47,U35)=1,2,1)</f>
        <v>1</v>
      </c>
      <c r="W35" s="46">
        <f>VLOOKUP($B35,Form_Oitavas!$C$2:$AQ$60,24,FALSE)</f>
        <v>3</v>
      </c>
      <c r="X35" s="9" t="s">
        <v>98</v>
      </c>
      <c r="Y35" s="46">
        <f>VLOOKUP($B35,Form_Oitavas!$C$2:$AQ$60,25,FALSE)</f>
        <v>1</v>
      </c>
      <c r="Z35" s="47" t="str">
        <f t="shared" si="14"/>
        <v>casa</v>
      </c>
      <c r="AA35" s="48">
        <f>IF(W35=OITAVAS!W$48,IF(OITAVAS!Y$48=Y35,Pesos!$N$6,IF(Z35=OITAVAS!Z$48,Pesos!$N$3,0)),IF(Z35=OITAVAS!Z$48,Pesos!$N$3,0))*IF(COUNTIF(Z$27:Z$47,Z35)=1,2,1)</f>
        <v>1</v>
      </c>
      <c r="AB35" s="46">
        <f>VLOOKUP($B35,Form_Oitavas!$C$2:$AQ$60,29,FALSE)</f>
        <v>1</v>
      </c>
      <c r="AC35" s="9" t="s">
        <v>98</v>
      </c>
      <c r="AD35" s="46">
        <f>VLOOKUP($B35,Form_Oitavas!$C$2:$AQ$60,30,FALSE)</f>
        <v>1</v>
      </c>
      <c r="AE35" s="47" t="str">
        <f t="shared" si="15"/>
        <v>empate</v>
      </c>
      <c r="AF35" s="48">
        <f>IF(AB35=OITAVAS!AB$48,IF(OITAVAS!AD$48=AD35,Pesos!$N$6,IF(AE35=OITAVAS!AE$48,Pesos!$N$3,0)),IF(AE35=OITAVAS!AE$48,Pesos!$N$3,0))*IF(COUNTIF(AE$27:AE$47,AE35)=1,2,1)</f>
        <v>0</v>
      </c>
      <c r="AG35" s="46">
        <f>VLOOKUP($B35,Form_Oitavas!$C$2:$AQ$60,34,FALSE)</f>
        <v>0</v>
      </c>
      <c r="AH35" s="9" t="s">
        <v>98</v>
      </c>
      <c r="AI35" s="46">
        <f>VLOOKUP($B35,Form_Oitavas!$C$2:$AQ$60,35,FALSE)</f>
        <v>0</v>
      </c>
      <c r="AJ35" s="47" t="str">
        <f t="shared" si="16"/>
        <v>empate</v>
      </c>
      <c r="AK35" s="48">
        <f>IF(AG35=OITAVAS!AG$48,IF(OITAVAS!AI$48=AI35,Pesos!$N$6,IF(AJ35=OITAVAS!AJ$48,Pesos!$N$3,0)),IF(AJ35=OITAVAS!AJ$48,Pesos!$N$3,0))*IF(COUNTIF(AJ$27:AJ$47,AJ35)=1,2,1)</f>
        <v>0</v>
      </c>
      <c r="AL35" s="46">
        <f>VLOOKUP($B35,Form_Oitavas!$C$2:$AQ$60,39,FALSE)</f>
        <v>2</v>
      </c>
      <c r="AM35" s="9" t="s">
        <v>98</v>
      </c>
      <c r="AN35" s="46">
        <f>VLOOKUP($B35,Form_Oitavas!$C$2:$AQ$60,40,FALSE)</f>
        <v>0</v>
      </c>
      <c r="AO35" s="47" t="str">
        <f t="shared" si="17"/>
        <v>casa</v>
      </c>
      <c r="AP35" s="48">
        <f>IF(AL35=OITAVAS!AL$48,IF(OITAVAS!AN$48=AN35,Pesos!$N$6,IF(AO35=OITAVAS!AO$48,Pesos!$N$3,0)),IF(AO35=OITAVAS!AO$48,Pesos!$N$3,0))*IF(COUNTIF(AO$27:AO$47,AO35)=1,2,1)</f>
        <v>6</v>
      </c>
      <c r="AQ35" s="41"/>
      <c r="AR35" s="41">
        <f t="shared" si="18"/>
        <v>5</v>
      </c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</row>
    <row r="36" ht="14.25" customHeight="1">
      <c r="A36" s="41"/>
      <c r="B36" s="51" t="s">
        <v>18</v>
      </c>
      <c r="C36" s="46">
        <f>VLOOKUP($B36,Form_Oitavas!$C$2:$AQ$60,4,FALSE)</f>
        <v>2</v>
      </c>
      <c r="D36" s="9" t="s">
        <v>98</v>
      </c>
      <c r="E36" s="46">
        <f>VLOOKUP($B36,Form_Oitavas!$C$2:$AQ$60,5,FALSE)</f>
        <v>2</v>
      </c>
      <c r="F36" s="47" t="str">
        <f t="shared" si="10"/>
        <v>empate</v>
      </c>
      <c r="G36" s="48">
        <f>IF(C36=OITAVAS!C$48,IF(OITAVAS!E$48=E36,Pesos!$N$6,IF(F36=OITAVAS!F$48,Pesos!$N$3,0)),IF(F36=OITAVAS!F$48,Pesos!$N$3,0))*IF(COUNTIF(F$27:F$47,F36)=1,2,1)</f>
        <v>0</v>
      </c>
      <c r="H36" s="46">
        <f>VLOOKUP($B36,Form_Oitavas!$C$2:$AQ$60,9,FALSE)</f>
        <v>3</v>
      </c>
      <c r="I36" s="9" t="s">
        <v>98</v>
      </c>
      <c r="J36" s="46">
        <f>VLOOKUP($B36,Form_Oitavas!$C$2:$AQ$60,10,FALSE)</f>
        <v>0</v>
      </c>
      <c r="K36" s="47" t="str">
        <f t="shared" si="11"/>
        <v>casa</v>
      </c>
      <c r="L36" s="48">
        <f>IF(H36=OITAVAS!H$48,IF(OITAVAS!J$48=J36,Pesos!$N$6,IF(K36=OITAVAS!K$48,Pesos!$N$3,0)),IF(K36=OITAVAS!K$48,Pesos!$N$3,0))*IF(COUNTIF(K$27:K$47,K36)=1,2,1)</f>
        <v>1</v>
      </c>
      <c r="M36" s="46">
        <f>VLOOKUP($B36,Form_Oitavas!$C$2:$AQ$60,14,FALSE)</f>
        <v>2</v>
      </c>
      <c r="N36" s="9" t="s">
        <v>98</v>
      </c>
      <c r="O36" s="46">
        <f>VLOOKUP($B36,Form_Oitavas!$C$2:$AQ$60,15,FALSE)</f>
        <v>0</v>
      </c>
      <c r="P36" s="47" t="str">
        <f t="shared" si="12"/>
        <v>casa</v>
      </c>
      <c r="Q36" s="48">
        <f>IF(M36=OITAVAS!M$48,IF(OITAVAS!O$48=O36,Pesos!$N$6,IF(P36=OITAVAS!P$48,Pesos!$N$3,0)),IF(P36=OITAVAS!P$48,Pesos!$N$3,0))*IF(COUNTIF(P$27:P$47,P36)=1,2,1)</f>
        <v>0</v>
      </c>
      <c r="R36" s="46">
        <f>VLOOKUP($B36,Form_Oitavas!$C$2:$AQ$60,19,FALSE)</f>
        <v>3</v>
      </c>
      <c r="S36" s="9" t="s">
        <v>98</v>
      </c>
      <c r="T36" s="46">
        <f>VLOOKUP($B36,Form_Oitavas!$C$2:$AQ$60,20,FALSE)</f>
        <v>1</v>
      </c>
      <c r="U36" s="47" t="str">
        <f t="shared" si="13"/>
        <v>casa</v>
      </c>
      <c r="V36" s="48">
        <f>IF(R36=OITAVAS!R$48,IF(OITAVAS!T$48=T36,Pesos!$N$6,IF(U36=OITAVAS!U$48,Pesos!$N$3,0)),IF(U36=OITAVAS!U$48,Pesos!$N$3,0))*IF(COUNTIF(U$27:U$47,U36)=1,2,1)</f>
        <v>1</v>
      </c>
      <c r="W36" s="46">
        <f>VLOOKUP($B36,Form_Oitavas!$C$2:$AQ$60,24,FALSE)</f>
        <v>3</v>
      </c>
      <c r="X36" s="9" t="s">
        <v>98</v>
      </c>
      <c r="Y36" s="46">
        <f>VLOOKUP($B36,Form_Oitavas!$C$2:$AQ$60,25,FALSE)</f>
        <v>1</v>
      </c>
      <c r="Z36" s="47" t="str">
        <f t="shared" si="14"/>
        <v>casa</v>
      </c>
      <c r="AA36" s="48">
        <f>IF(W36=OITAVAS!W$48,IF(OITAVAS!Y$48=Y36,Pesos!$N$6,IF(Z36=OITAVAS!Z$48,Pesos!$N$3,0)),IF(Z36=OITAVAS!Z$48,Pesos!$N$3,0))*IF(COUNTIF(Z$27:Z$47,Z36)=1,2,1)</f>
        <v>1</v>
      </c>
      <c r="AB36" s="46">
        <f>VLOOKUP($B36,Form_Oitavas!$C$2:$AQ$60,29,FALSE)</f>
        <v>1</v>
      </c>
      <c r="AC36" s="9" t="s">
        <v>98</v>
      </c>
      <c r="AD36" s="46">
        <f>VLOOKUP($B36,Form_Oitavas!$C$2:$AQ$60,30,FALSE)</f>
        <v>1</v>
      </c>
      <c r="AE36" s="47" t="str">
        <f t="shared" si="15"/>
        <v>empate</v>
      </c>
      <c r="AF36" s="48">
        <f>IF(AB36=OITAVAS!AB$48,IF(OITAVAS!AD$48=AD36,Pesos!$N$6,IF(AE36=OITAVAS!AE$48,Pesos!$N$3,0)),IF(AE36=OITAVAS!AE$48,Pesos!$N$3,0))*IF(COUNTIF(AE$27:AE$47,AE36)=1,2,1)</f>
        <v>0</v>
      </c>
      <c r="AG36" s="46">
        <f>VLOOKUP($B36,Form_Oitavas!$C$2:$AQ$60,34,FALSE)</f>
        <v>2</v>
      </c>
      <c r="AH36" s="9" t="s">
        <v>98</v>
      </c>
      <c r="AI36" s="46">
        <f>VLOOKUP($B36,Form_Oitavas!$C$2:$AQ$60,35,FALSE)</f>
        <v>2</v>
      </c>
      <c r="AJ36" s="47" t="str">
        <f t="shared" si="16"/>
        <v>empate</v>
      </c>
      <c r="AK36" s="48">
        <f>IF(AG36=OITAVAS!AG$48,IF(OITAVAS!AI$48=AI36,Pesos!$N$6,IF(AJ36=OITAVAS!AJ$48,Pesos!$N$3,0)),IF(AJ36=OITAVAS!AJ$48,Pesos!$N$3,0))*IF(COUNTIF(AJ$27:AJ$47,AJ36)=1,2,1)</f>
        <v>0</v>
      </c>
      <c r="AL36" s="46">
        <f>VLOOKUP($B36,Form_Oitavas!$C$2:$AQ$60,39,FALSE)</f>
        <v>3</v>
      </c>
      <c r="AM36" s="9" t="s">
        <v>98</v>
      </c>
      <c r="AN36" s="46">
        <f>VLOOKUP($B36,Form_Oitavas!$C$2:$AQ$60,40,FALSE)</f>
        <v>0</v>
      </c>
      <c r="AO36" s="47" t="str">
        <f t="shared" si="17"/>
        <v>casa</v>
      </c>
      <c r="AP36" s="48">
        <f>IF(AL36=OITAVAS!AL$48,IF(OITAVAS!AN$48=AN36,Pesos!$N$6,IF(AO36=OITAVAS!AO$48,Pesos!$N$3,0)),IF(AO36=OITAVAS!AO$48,Pesos!$N$3,0))*IF(COUNTIF(AO$27:AO$47,AO36)=1,2,1)</f>
        <v>1</v>
      </c>
      <c r="AQ36" s="41"/>
      <c r="AR36" s="41">
        <f t="shared" si="18"/>
        <v>4</v>
      </c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</row>
    <row r="37" ht="14.25" customHeight="1">
      <c r="A37" s="41"/>
      <c r="B37" s="51" t="s">
        <v>2</v>
      </c>
      <c r="C37" s="46">
        <f>VLOOKUP($B37,Form_Oitavas!$C$2:$AQ$60,4,FALSE)</f>
        <v>2</v>
      </c>
      <c r="D37" s="9" t="s">
        <v>98</v>
      </c>
      <c r="E37" s="46">
        <f>VLOOKUP($B37,Form_Oitavas!$C$2:$AQ$60,5,FALSE)</f>
        <v>2</v>
      </c>
      <c r="F37" s="47" t="str">
        <f t="shared" si="10"/>
        <v>empate</v>
      </c>
      <c r="G37" s="48">
        <f>IF(C37=OITAVAS!C$48,IF(OITAVAS!E$48=E37,Pesos!$N$6,IF(F37=OITAVAS!F$48,Pesos!$N$3,0)),IF(F37=OITAVAS!F$48,Pesos!$N$3,0))*IF(COUNTIF(F$27:F$47,F37)=1,2,1)</f>
        <v>0</v>
      </c>
      <c r="H37" s="46">
        <f>VLOOKUP($B37,Form_Oitavas!$C$2:$AQ$60,9,FALSE)</f>
        <v>2</v>
      </c>
      <c r="I37" s="9" t="s">
        <v>98</v>
      </c>
      <c r="J37" s="46">
        <f>VLOOKUP($B37,Form_Oitavas!$C$2:$AQ$60,10,FALSE)</f>
        <v>0</v>
      </c>
      <c r="K37" s="47" t="str">
        <f t="shared" si="11"/>
        <v>casa</v>
      </c>
      <c r="L37" s="48">
        <f>IF(H37=OITAVAS!H$48,IF(OITAVAS!J$48=J37,Pesos!$N$6,IF(K37=OITAVAS!K$48,Pesos!$N$3,0)),IF(K37=OITAVAS!K$48,Pesos!$N$3,0))*IF(COUNTIF(K$27:K$47,K37)=1,2,1)</f>
        <v>1</v>
      </c>
      <c r="M37" s="46">
        <f>VLOOKUP($B37,Form_Oitavas!$C$2:$AQ$60,14,FALSE)</f>
        <v>2</v>
      </c>
      <c r="N37" s="9" t="s">
        <v>98</v>
      </c>
      <c r="O37" s="46">
        <f>VLOOKUP($B37,Form_Oitavas!$C$2:$AQ$60,15,FALSE)</f>
        <v>1</v>
      </c>
      <c r="P37" s="47" t="str">
        <f t="shared" si="12"/>
        <v>casa</v>
      </c>
      <c r="Q37" s="48">
        <f>IF(M37=OITAVAS!M$48,IF(OITAVAS!O$48=O37,Pesos!$N$6,IF(P37=OITAVAS!P$48,Pesos!$N$3,0)),IF(P37=OITAVAS!P$48,Pesos!$N$3,0))*IF(COUNTIF(P$27:P$47,P37)=1,2,1)</f>
        <v>0</v>
      </c>
      <c r="R37" s="46">
        <f>VLOOKUP($B37,Form_Oitavas!$C$2:$AQ$60,19,FALSE)</f>
        <v>2</v>
      </c>
      <c r="S37" s="9" t="s">
        <v>98</v>
      </c>
      <c r="T37" s="46">
        <f>VLOOKUP($B37,Form_Oitavas!$C$2:$AQ$60,20,FALSE)</f>
        <v>0</v>
      </c>
      <c r="U37" s="47" t="str">
        <f t="shared" si="13"/>
        <v>casa</v>
      </c>
      <c r="V37" s="48">
        <f>IF(R37=OITAVAS!R$48,IF(OITAVAS!T$48=T37,Pesos!$N$6,IF(U37=OITAVAS!U$48,Pesos!$N$3,0)),IF(U37=OITAVAS!U$48,Pesos!$N$3,0))*IF(COUNTIF(U$27:U$47,U37)=1,2,1)</f>
        <v>1</v>
      </c>
      <c r="W37" s="46">
        <f>VLOOKUP($B37,Form_Oitavas!$C$2:$AQ$60,24,FALSE)</f>
        <v>3</v>
      </c>
      <c r="X37" s="9" t="s">
        <v>98</v>
      </c>
      <c r="Y37" s="46">
        <f>VLOOKUP($B37,Form_Oitavas!$C$2:$AQ$60,25,FALSE)</f>
        <v>1</v>
      </c>
      <c r="Z37" s="47" t="str">
        <f t="shared" si="14"/>
        <v>casa</v>
      </c>
      <c r="AA37" s="48">
        <f>IF(W37=OITAVAS!W$48,IF(OITAVAS!Y$48=Y37,Pesos!$N$6,IF(Z37=OITAVAS!Z$48,Pesos!$N$3,0)),IF(Z37=OITAVAS!Z$48,Pesos!$N$3,0))*IF(COUNTIF(Z$27:Z$47,Z37)=1,2,1)</f>
        <v>1</v>
      </c>
      <c r="AB37" s="46">
        <f>VLOOKUP($B37,Form_Oitavas!$C$2:$AQ$60,29,FALSE)</f>
        <v>0</v>
      </c>
      <c r="AC37" s="9" t="s">
        <v>98</v>
      </c>
      <c r="AD37" s="46">
        <f>VLOOKUP($B37,Form_Oitavas!$C$2:$AQ$60,30,FALSE)</f>
        <v>1</v>
      </c>
      <c r="AE37" s="47" t="str">
        <f t="shared" si="15"/>
        <v>visita</v>
      </c>
      <c r="AF37" s="48">
        <f>IF(AB37=OITAVAS!AB$48,IF(OITAVAS!AD$48=AD37,Pesos!$N$6,IF(AE37=OITAVAS!AE$48,Pesos!$N$3,0)),IF(AE37=OITAVAS!AE$48,Pesos!$N$3,0))*IF(COUNTIF(AE$27:AE$47,AE37)=1,2,1)</f>
        <v>0</v>
      </c>
      <c r="AG37" s="46">
        <f>VLOOKUP($B37,Form_Oitavas!$C$2:$AQ$60,34,FALSE)</f>
        <v>2</v>
      </c>
      <c r="AH37" s="9" t="s">
        <v>98</v>
      </c>
      <c r="AI37" s="46">
        <f>VLOOKUP($B37,Form_Oitavas!$C$2:$AQ$60,35,FALSE)</f>
        <v>0</v>
      </c>
      <c r="AJ37" s="47" t="str">
        <f t="shared" si="16"/>
        <v>casa</v>
      </c>
      <c r="AK37" s="48">
        <f>IF(AG37=OITAVAS!AG$48,IF(OITAVAS!AI$48=AI37,Pesos!$N$6,IF(AJ37=OITAVAS!AJ$48,Pesos!$N$3,0)),IF(AJ37=OITAVAS!AJ$48,Pesos!$N$3,0))*IF(COUNTIF(AJ$27:AJ$47,AJ37)=1,2,1)</f>
        <v>1</v>
      </c>
      <c r="AL37" s="46">
        <f>VLOOKUP($B37,Form_Oitavas!$C$2:$AQ$60,39,FALSE)</f>
        <v>3</v>
      </c>
      <c r="AM37" s="9" t="s">
        <v>98</v>
      </c>
      <c r="AN37" s="46">
        <f>VLOOKUP($B37,Form_Oitavas!$C$2:$AQ$60,40,FALSE)</f>
        <v>0</v>
      </c>
      <c r="AO37" s="47" t="str">
        <f t="shared" si="17"/>
        <v>casa</v>
      </c>
      <c r="AP37" s="48">
        <f>IF(AL37=OITAVAS!AL$48,IF(OITAVAS!AN$48=AN37,Pesos!$N$6,IF(AO37=OITAVAS!AO$48,Pesos!$N$3,0)),IF(AO37=OITAVAS!AO$48,Pesos!$N$3,0))*IF(COUNTIF(AO$27:AO$47,AO37)=1,2,1)</f>
        <v>1</v>
      </c>
      <c r="AQ37" s="41"/>
      <c r="AR37" s="41">
        <f t="shared" si="18"/>
        <v>5</v>
      </c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</row>
    <row r="38" ht="14.25" customHeight="1">
      <c r="A38" s="41"/>
      <c r="B38" s="51" t="s">
        <v>15</v>
      </c>
      <c r="C38" s="46">
        <f>VLOOKUP($B38,Form_Oitavas!$C$2:$AQ$60,4,FALSE)</f>
        <v>2</v>
      </c>
      <c r="D38" s="9" t="s">
        <v>98</v>
      </c>
      <c r="E38" s="46">
        <f>VLOOKUP($B38,Form_Oitavas!$C$2:$AQ$60,5,FALSE)</f>
        <v>1</v>
      </c>
      <c r="F38" s="47" t="str">
        <f t="shared" si="10"/>
        <v>casa</v>
      </c>
      <c r="G38" s="48">
        <f>IF(C38=OITAVAS!C$48,IF(OITAVAS!E$48=E38,Pesos!$N$6,IF(F38=OITAVAS!F$48,Pesos!$N$3,0)),IF(F38=OITAVAS!F$48,Pesos!$N$3,0))*IF(COUNTIF(F$27:F$47,F38)=1,2,1)</f>
        <v>0</v>
      </c>
      <c r="H38" s="46">
        <f>VLOOKUP($B38,Form_Oitavas!$C$2:$AQ$60,9,FALSE)</f>
        <v>3</v>
      </c>
      <c r="I38" s="9" t="s">
        <v>98</v>
      </c>
      <c r="J38" s="46">
        <f>VLOOKUP($B38,Form_Oitavas!$C$2:$AQ$60,10,FALSE)</f>
        <v>2</v>
      </c>
      <c r="K38" s="47" t="str">
        <f t="shared" si="11"/>
        <v>casa</v>
      </c>
      <c r="L38" s="48">
        <f>IF(H38=OITAVAS!H$48,IF(OITAVAS!J$48=J38,Pesos!$N$6,IF(K38=OITAVAS!K$48,Pesos!$N$3,0)),IF(K38=OITAVAS!K$48,Pesos!$N$3,0))*IF(COUNTIF(K$27:K$47,K38)=1,2,1)</f>
        <v>1</v>
      </c>
      <c r="M38" s="46">
        <f>VLOOKUP($B38,Form_Oitavas!$C$2:$AQ$60,14,FALSE)</f>
        <v>1</v>
      </c>
      <c r="N38" s="9" t="s">
        <v>98</v>
      </c>
      <c r="O38" s="46">
        <f>VLOOKUP($B38,Form_Oitavas!$C$2:$AQ$60,15,FALSE)</f>
        <v>2</v>
      </c>
      <c r="P38" s="47" t="str">
        <f t="shared" si="12"/>
        <v>visita</v>
      </c>
      <c r="Q38" s="48">
        <f>IF(M38=OITAVAS!M$48,IF(OITAVAS!O$48=O38,Pesos!$N$6,IF(P38=OITAVAS!P$48,Pesos!$N$3,0)),IF(P38=OITAVAS!P$48,Pesos!$N$3,0))*IF(COUNTIF(P$27:P$47,P38)=1,2,1)</f>
        <v>6</v>
      </c>
      <c r="R38" s="46">
        <f>VLOOKUP($B38,Form_Oitavas!$C$2:$AQ$60,19,FALSE)</f>
        <v>3</v>
      </c>
      <c r="S38" s="9" t="s">
        <v>98</v>
      </c>
      <c r="T38" s="46">
        <f>VLOOKUP($B38,Form_Oitavas!$C$2:$AQ$60,20,FALSE)</f>
        <v>1</v>
      </c>
      <c r="U38" s="47" t="str">
        <f t="shared" si="13"/>
        <v>casa</v>
      </c>
      <c r="V38" s="48">
        <f>IF(R38=OITAVAS!R$48,IF(OITAVAS!T$48=T38,Pesos!$N$6,IF(U38=OITAVAS!U$48,Pesos!$N$3,0)),IF(U38=OITAVAS!U$48,Pesos!$N$3,0))*IF(COUNTIF(U$27:U$47,U38)=1,2,1)</f>
        <v>1</v>
      </c>
      <c r="W38" s="46">
        <f>VLOOKUP($B38,Form_Oitavas!$C$2:$AQ$60,24,FALSE)</f>
        <v>3</v>
      </c>
      <c r="X38" s="9" t="s">
        <v>98</v>
      </c>
      <c r="Y38" s="46">
        <f>VLOOKUP($B38,Form_Oitavas!$C$2:$AQ$60,25,FALSE)</f>
        <v>1</v>
      </c>
      <c r="Z38" s="47" t="str">
        <f t="shared" si="14"/>
        <v>casa</v>
      </c>
      <c r="AA38" s="48">
        <f>IF(W38=OITAVAS!W$48,IF(OITAVAS!Y$48=Y38,Pesos!$N$6,IF(Z38=OITAVAS!Z$48,Pesos!$N$3,0)),IF(Z38=OITAVAS!Z$48,Pesos!$N$3,0))*IF(COUNTIF(Z$27:Z$47,Z38)=1,2,1)</f>
        <v>1</v>
      </c>
      <c r="AB38" s="46">
        <f>VLOOKUP($B38,Form_Oitavas!$C$2:$AQ$60,29,FALSE)</f>
        <v>2</v>
      </c>
      <c r="AC38" s="9" t="s">
        <v>98</v>
      </c>
      <c r="AD38" s="46">
        <f>VLOOKUP($B38,Form_Oitavas!$C$2:$AQ$60,30,FALSE)</f>
        <v>1</v>
      </c>
      <c r="AE38" s="47" t="str">
        <f t="shared" si="15"/>
        <v>casa</v>
      </c>
      <c r="AF38" s="48">
        <f>IF(AB38=OITAVAS!AB$48,IF(OITAVAS!AD$48=AD38,Pesos!$N$6,IF(AE38=OITAVAS!AE$48,Pesos!$N$3,0)),IF(AE38=OITAVAS!AE$48,Pesos!$N$3,0))*IF(COUNTIF(AE$27:AE$47,AE38)=1,2,1)</f>
        <v>1</v>
      </c>
      <c r="AG38" s="46">
        <f>VLOOKUP($B38,Form_Oitavas!$C$2:$AQ$60,34,FALSE)</f>
        <v>1</v>
      </c>
      <c r="AH38" s="9" t="s">
        <v>98</v>
      </c>
      <c r="AI38" s="46">
        <f>VLOOKUP($B38,Form_Oitavas!$C$2:$AQ$60,35,FALSE)</f>
        <v>0</v>
      </c>
      <c r="AJ38" s="47" t="str">
        <f t="shared" si="16"/>
        <v>casa</v>
      </c>
      <c r="AK38" s="48">
        <f>IF(AG38=OITAVAS!AG$48,IF(OITAVAS!AI$48=AI38,Pesos!$N$6,IF(AJ38=OITAVAS!AJ$48,Pesos!$N$3,0)),IF(AJ38=OITAVAS!AJ$48,Pesos!$N$3,0))*IF(COUNTIF(AJ$27:AJ$47,AJ38)=1,2,1)</f>
        <v>1</v>
      </c>
      <c r="AL38" s="46">
        <f>VLOOKUP($B38,Form_Oitavas!$C$2:$AQ$60,39,FALSE)</f>
        <v>3</v>
      </c>
      <c r="AM38" s="9" t="s">
        <v>98</v>
      </c>
      <c r="AN38" s="46">
        <f>VLOOKUP($B38,Form_Oitavas!$C$2:$AQ$60,40,FALSE)</f>
        <v>0</v>
      </c>
      <c r="AO38" s="47" t="str">
        <f t="shared" si="17"/>
        <v>casa</v>
      </c>
      <c r="AP38" s="48">
        <f>IF(AL38=OITAVAS!AL$48,IF(OITAVAS!AN$48=AN38,Pesos!$N$6,IF(AO38=OITAVAS!AO$48,Pesos!$N$3,0)),IF(AO38=OITAVAS!AO$48,Pesos!$N$3,0))*IF(COUNTIF(AO$27:AO$47,AO38)=1,2,1)</f>
        <v>1</v>
      </c>
      <c r="AQ38" s="41"/>
      <c r="AR38" s="41">
        <f t="shared" si="18"/>
        <v>7</v>
      </c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</row>
    <row r="39" ht="14.25" customHeight="1">
      <c r="A39" s="41"/>
      <c r="B39" s="51" t="s">
        <v>12</v>
      </c>
      <c r="C39" s="46">
        <f>VLOOKUP($B39,Form_Oitavas!$C$2:$AQ$60,4,FALSE)</f>
        <v>2</v>
      </c>
      <c r="D39" s="9" t="s">
        <v>98</v>
      </c>
      <c r="E39" s="46">
        <f>VLOOKUP($B39,Form_Oitavas!$C$2:$AQ$60,5,FALSE)</f>
        <v>2</v>
      </c>
      <c r="F39" s="47" t="str">
        <f t="shared" si="10"/>
        <v>empate</v>
      </c>
      <c r="G39" s="48">
        <f>IF(C39=OITAVAS!C$48,IF(OITAVAS!E$48=E39,Pesos!$N$6,IF(F39=OITAVAS!F$48,Pesos!$N$3,0)),IF(F39=OITAVAS!F$48,Pesos!$N$3,0))*IF(COUNTIF(F$27:F$47,F39)=1,2,1)</f>
        <v>0</v>
      </c>
      <c r="H39" s="46">
        <f>VLOOKUP($B39,Form_Oitavas!$C$2:$AQ$60,9,FALSE)</f>
        <v>2</v>
      </c>
      <c r="I39" s="9" t="s">
        <v>98</v>
      </c>
      <c r="J39" s="46">
        <f>VLOOKUP($B39,Form_Oitavas!$C$2:$AQ$60,10,FALSE)</f>
        <v>1</v>
      </c>
      <c r="K39" s="47" t="str">
        <f t="shared" si="11"/>
        <v>casa</v>
      </c>
      <c r="L39" s="48">
        <f>IF(H39=OITAVAS!H$48,IF(OITAVAS!J$48=J39,Pesos!$N$6,IF(K39=OITAVAS!K$48,Pesos!$N$3,0)),IF(K39=OITAVAS!K$48,Pesos!$N$3,0))*IF(COUNTIF(K$27:K$47,K39)=1,2,1)</f>
        <v>1</v>
      </c>
      <c r="M39" s="46">
        <f>VLOOKUP($B39,Form_Oitavas!$C$2:$AQ$60,14,FALSE)</f>
        <v>2</v>
      </c>
      <c r="N39" s="9" t="s">
        <v>98</v>
      </c>
      <c r="O39" s="46">
        <f>VLOOKUP($B39,Form_Oitavas!$C$2:$AQ$60,15,FALSE)</f>
        <v>2</v>
      </c>
      <c r="P39" s="47" t="str">
        <f t="shared" si="12"/>
        <v>empate</v>
      </c>
      <c r="Q39" s="48">
        <f>IF(M39=OITAVAS!M$48,IF(OITAVAS!O$48=O39,Pesos!$N$6,IF(P39=OITAVAS!P$48,Pesos!$N$3,0)),IF(P39=OITAVAS!P$48,Pesos!$N$3,0))*IF(COUNTIF(P$27:P$47,P39)=1,2,1)</f>
        <v>0</v>
      </c>
      <c r="R39" s="46">
        <f>VLOOKUP($B39,Form_Oitavas!$C$2:$AQ$60,19,FALSE)</f>
        <v>2</v>
      </c>
      <c r="S39" s="9" t="s">
        <v>98</v>
      </c>
      <c r="T39" s="46">
        <f>VLOOKUP($B39,Form_Oitavas!$C$2:$AQ$60,20,FALSE)</f>
        <v>0</v>
      </c>
      <c r="U39" s="47" t="str">
        <f t="shared" si="13"/>
        <v>casa</v>
      </c>
      <c r="V39" s="48">
        <f>IF(R39=OITAVAS!R$48,IF(OITAVAS!T$48=T39,Pesos!$N$6,IF(U39=OITAVAS!U$48,Pesos!$N$3,0)),IF(U39=OITAVAS!U$48,Pesos!$N$3,0))*IF(COUNTIF(U$27:U$47,U39)=1,2,1)</f>
        <v>1</v>
      </c>
      <c r="W39" s="46">
        <f>VLOOKUP($B39,Form_Oitavas!$C$2:$AQ$60,24,FALSE)</f>
        <v>3</v>
      </c>
      <c r="X39" s="9" t="s">
        <v>98</v>
      </c>
      <c r="Y39" s="46">
        <f>VLOOKUP($B39,Form_Oitavas!$C$2:$AQ$60,25,FALSE)</f>
        <v>1</v>
      </c>
      <c r="Z39" s="47" t="str">
        <f t="shared" si="14"/>
        <v>casa</v>
      </c>
      <c r="AA39" s="48">
        <f>IF(W39=OITAVAS!W$48,IF(OITAVAS!Y$48=Y39,Pesos!$N$6,IF(Z39=OITAVAS!Z$48,Pesos!$N$3,0)),IF(Z39=OITAVAS!Z$48,Pesos!$N$3,0))*IF(COUNTIF(Z$27:Z$47,Z39)=1,2,1)</f>
        <v>1</v>
      </c>
      <c r="AB39" s="46">
        <f>VLOOKUP($B39,Form_Oitavas!$C$2:$AQ$60,29,FALSE)</f>
        <v>1</v>
      </c>
      <c r="AC39" s="9" t="s">
        <v>98</v>
      </c>
      <c r="AD39" s="46">
        <f>VLOOKUP($B39,Form_Oitavas!$C$2:$AQ$60,30,FALSE)</f>
        <v>1</v>
      </c>
      <c r="AE39" s="47" t="str">
        <f t="shared" si="15"/>
        <v>empate</v>
      </c>
      <c r="AF39" s="48">
        <f>IF(AB39=OITAVAS!AB$48,IF(OITAVAS!AD$48=AD39,Pesos!$N$6,IF(AE39=OITAVAS!AE$48,Pesos!$N$3,0)),IF(AE39=OITAVAS!AE$48,Pesos!$N$3,0))*IF(COUNTIF(AE$27:AE$47,AE39)=1,2,1)</f>
        <v>0</v>
      </c>
      <c r="AG39" s="46">
        <f>VLOOKUP($B39,Form_Oitavas!$C$2:$AQ$60,34,FALSE)</f>
        <v>1</v>
      </c>
      <c r="AH39" s="9" t="s">
        <v>98</v>
      </c>
      <c r="AI39" s="46">
        <f>VLOOKUP($B39,Form_Oitavas!$C$2:$AQ$60,35,FALSE)</f>
        <v>0</v>
      </c>
      <c r="AJ39" s="47" t="str">
        <f t="shared" si="16"/>
        <v>casa</v>
      </c>
      <c r="AK39" s="48">
        <f>IF(AG39=OITAVAS!AG$48,IF(OITAVAS!AI$48=AI39,Pesos!$N$6,IF(AJ39=OITAVAS!AJ$48,Pesos!$N$3,0)),IF(AJ39=OITAVAS!AJ$48,Pesos!$N$3,0))*IF(COUNTIF(AJ$27:AJ$47,AJ39)=1,2,1)</f>
        <v>1</v>
      </c>
      <c r="AL39" s="46">
        <f>VLOOKUP($B39,Form_Oitavas!$C$2:$AQ$60,39,FALSE)</f>
        <v>1</v>
      </c>
      <c r="AM39" s="9" t="s">
        <v>98</v>
      </c>
      <c r="AN39" s="46">
        <f>VLOOKUP($B39,Form_Oitavas!$C$2:$AQ$60,40,FALSE)</f>
        <v>0</v>
      </c>
      <c r="AO39" s="47" t="str">
        <f t="shared" si="17"/>
        <v>casa</v>
      </c>
      <c r="AP39" s="48">
        <f>IF(AL39=OITAVAS!AL$48,IF(OITAVAS!AN$48=AN39,Pesos!$N$6,IF(AO39=OITAVAS!AO$48,Pesos!$N$3,0)),IF(AO39=OITAVAS!AO$48,Pesos!$N$3,0))*IF(COUNTIF(AO$27:AO$47,AO39)=1,2,1)</f>
        <v>1</v>
      </c>
      <c r="AQ39" s="41"/>
      <c r="AR39" s="41">
        <f t="shared" si="18"/>
        <v>5</v>
      </c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</row>
    <row r="40" ht="14.25" customHeight="1">
      <c r="A40" s="41"/>
      <c r="B40" s="51" t="s">
        <v>8</v>
      </c>
      <c r="C40" s="46">
        <f>VLOOKUP($B40,Form_Oitavas!$C$2:$AQ$60,4,FALSE)</f>
        <v>2</v>
      </c>
      <c r="D40" s="9" t="s">
        <v>98</v>
      </c>
      <c r="E40" s="46">
        <f>VLOOKUP($B40,Form_Oitavas!$C$2:$AQ$60,5,FALSE)</f>
        <v>1</v>
      </c>
      <c r="F40" s="47" t="str">
        <f t="shared" si="10"/>
        <v>casa</v>
      </c>
      <c r="G40" s="48">
        <f>IF(C40=OITAVAS!C$48,IF(OITAVAS!E$48=E40,Pesos!$N$6,IF(F40=OITAVAS!F$48,Pesos!$N$3,0)),IF(F40=OITAVAS!F$48,Pesos!$N$3,0))*IF(COUNTIF(F$27:F$47,F40)=1,2,1)</f>
        <v>0</v>
      </c>
      <c r="H40" s="46">
        <f>VLOOKUP($B40,Form_Oitavas!$C$2:$AQ$60,9,FALSE)</f>
        <v>1</v>
      </c>
      <c r="I40" s="9" t="s">
        <v>98</v>
      </c>
      <c r="J40" s="46">
        <f>VLOOKUP($B40,Form_Oitavas!$C$2:$AQ$60,10,FALSE)</f>
        <v>1</v>
      </c>
      <c r="K40" s="47" t="str">
        <f t="shared" si="11"/>
        <v>empate</v>
      </c>
      <c r="L40" s="48">
        <f>IF(H40=OITAVAS!H$48,IF(OITAVAS!J$48=J40,Pesos!$N$6,IF(K40=OITAVAS!K$48,Pesos!$N$3,0)),IF(K40=OITAVAS!K$48,Pesos!$N$3,0))*IF(COUNTIF(K$27:K$47,K40)=1,2,1)</f>
        <v>0</v>
      </c>
      <c r="M40" s="46">
        <f>VLOOKUP($B40,Form_Oitavas!$C$2:$AQ$60,14,FALSE)</f>
        <v>2</v>
      </c>
      <c r="N40" s="9" t="s">
        <v>98</v>
      </c>
      <c r="O40" s="46">
        <f>VLOOKUP($B40,Form_Oitavas!$C$2:$AQ$60,15,FALSE)</f>
        <v>1</v>
      </c>
      <c r="P40" s="47" t="str">
        <f t="shared" si="12"/>
        <v>casa</v>
      </c>
      <c r="Q40" s="48">
        <f>IF(M40=OITAVAS!M$48,IF(OITAVAS!O$48=O40,Pesos!$N$6,IF(P40=OITAVAS!P$48,Pesos!$N$3,0)),IF(P40=OITAVAS!P$48,Pesos!$N$3,0))*IF(COUNTIF(P$27:P$47,P40)=1,2,1)</f>
        <v>0</v>
      </c>
      <c r="R40" s="46">
        <f>VLOOKUP($B40,Form_Oitavas!$C$2:$AQ$60,19,FALSE)</f>
        <v>3</v>
      </c>
      <c r="S40" s="9" t="s">
        <v>98</v>
      </c>
      <c r="T40" s="46">
        <f>VLOOKUP($B40,Form_Oitavas!$C$2:$AQ$60,20,FALSE)</f>
        <v>1</v>
      </c>
      <c r="U40" s="47" t="str">
        <f t="shared" si="13"/>
        <v>casa</v>
      </c>
      <c r="V40" s="48">
        <f>IF(R40=OITAVAS!R$48,IF(OITAVAS!T$48=T40,Pesos!$N$6,IF(U40=OITAVAS!U$48,Pesos!$N$3,0)),IF(U40=OITAVAS!U$48,Pesos!$N$3,0))*IF(COUNTIF(U$27:U$47,U40)=1,2,1)</f>
        <v>1</v>
      </c>
      <c r="W40" s="46">
        <f>VLOOKUP($B40,Form_Oitavas!$C$2:$AQ$60,24,FALSE)</f>
        <v>2</v>
      </c>
      <c r="X40" s="9" t="s">
        <v>98</v>
      </c>
      <c r="Y40" s="46">
        <f>VLOOKUP($B40,Form_Oitavas!$C$2:$AQ$60,25,FALSE)</f>
        <v>1</v>
      </c>
      <c r="Z40" s="47" t="str">
        <f t="shared" si="14"/>
        <v>casa</v>
      </c>
      <c r="AA40" s="48">
        <f>IF(W40=OITAVAS!W$48,IF(OITAVAS!Y$48=Y40,Pesos!$N$6,IF(Z40=OITAVAS!Z$48,Pesos!$N$3,0)),IF(Z40=OITAVAS!Z$48,Pesos!$N$3,0))*IF(COUNTIF(Z$27:Z$47,Z40)=1,2,1)</f>
        <v>1</v>
      </c>
      <c r="AB40" s="46">
        <f>VLOOKUP($B40,Form_Oitavas!$C$2:$AQ$60,29,FALSE)</f>
        <v>1</v>
      </c>
      <c r="AC40" s="9" t="s">
        <v>98</v>
      </c>
      <c r="AD40" s="46">
        <f>VLOOKUP($B40,Form_Oitavas!$C$2:$AQ$60,30,FALSE)</f>
        <v>2</v>
      </c>
      <c r="AE40" s="47" t="str">
        <f t="shared" si="15"/>
        <v>visita</v>
      </c>
      <c r="AF40" s="48">
        <f>IF(AB40=OITAVAS!AB$48,IF(OITAVAS!AD$48=AD40,Pesos!$N$6,IF(AE40=OITAVAS!AE$48,Pesos!$N$3,0)),IF(AE40=OITAVAS!AE$48,Pesos!$N$3,0))*IF(COUNTIF(AE$27:AE$47,AE40)=1,2,1)</f>
        <v>0</v>
      </c>
      <c r="AG40" s="46">
        <f>VLOOKUP($B40,Form_Oitavas!$C$2:$AQ$60,34,FALSE)</f>
        <v>3</v>
      </c>
      <c r="AH40" s="9" t="s">
        <v>98</v>
      </c>
      <c r="AI40" s="46">
        <f>VLOOKUP($B40,Form_Oitavas!$C$2:$AQ$60,35,FALSE)</f>
        <v>1</v>
      </c>
      <c r="AJ40" s="47" t="str">
        <f t="shared" si="16"/>
        <v>casa</v>
      </c>
      <c r="AK40" s="48">
        <f>IF(AG40=OITAVAS!AG$48,IF(OITAVAS!AI$48=AI40,Pesos!$N$6,IF(AJ40=OITAVAS!AJ$48,Pesos!$N$3,0)),IF(AJ40=OITAVAS!AJ$48,Pesos!$N$3,0))*IF(COUNTIF(AJ$27:AJ$47,AJ40)=1,2,1)</f>
        <v>1</v>
      </c>
      <c r="AL40" s="46">
        <f>VLOOKUP($B40,Form_Oitavas!$C$2:$AQ$60,39,FALSE)</f>
        <v>2</v>
      </c>
      <c r="AM40" s="9" t="s">
        <v>98</v>
      </c>
      <c r="AN40" s="46">
        <f>VLOOKUP($B40,Form_Oitavas!$C$2:$AQ$60,40,FALSE)</f>
        <v>1</v>
      </c>
      <c r="AO40" s="47" t="str">
        <f t="shared" si="17"/>
        <v>casa</v>
      </c>
      <c r="AP40" s="48">
        <f>IF(AL40=OITAVAS!AL$48,IF(OITAVAS!AN$48=AN40,Pesos!$N$6,IF(AO40=OITAVAS!AO$48,Pesos!$N$3,0)),IF(AO40=OITAVAS!AO$48,Pesos!$N$3,0))*IF(COUNTIF(AO$27:AO$47,AO40)=1,2,1)</f>
        <v>1</v>
      </c>
      <c r="AQ40" s="41"/>
      <c r="AR40" s="41">
        <f t="shared" si="18"/>
        <v>4</v>
      </c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</row>
    <row r="41" ht="14.25" customHeight="1">
      <c r="A41" s="41"/>
      <c r="B41" s="51" t="s">
        <v>16</v>
      </c>
      <c r="C41" s="46">
        <f>VLOOKUP($B41,Form_Oitavas!$C$2:$AQ$60,4,FALSE)</f>
        <v>2</v>
      </c>
      <c r="D41" s="9" t="s">
        <v>98</v>
      </c>
      <c r="E41" s="46">
        <f>VLOOKUP($B41,Form_Oitavas!$C$2:$AQ$60,5,FALSE)</f>
        <v>0</v>
      </c>
      <c r="F41" s="47" t="str">
        <f t="shared" si="10"/>
        <v>casa</v>
      </c>
      <c r="G41" s="48">
        <f>IF(C41=OITAVAS!C$48,IF(OITAVAS!E$48=E41,Pesos!$N$6,IF(F41=OITAVAS!F$48,Pesos!$N$3,0)),IF(F41=OITAVAS!F$48,Pesos!$N$3,0))*IF(COUNTIF(F$27:F$47,F41)=1,2,1)</f>
        <v>0</v>
      </c>
      <c r="H41" s="46">
        <f>VLOOKUP($B41,Form_Oitavas!$C$2:$AQ$60,9,FALSE)</f>
        <v>2</v>
      </c>
      <c r="I41" s="9" t="s">
        <v>98</v>
      </c>
      <c r="J41" s="46">
        <f>VLOOKUP($B41,Form_Oitavas!$C$2:$AQ$60,10,FALSE)</f>
        <v>1</v>
      </c>
      <c r="K41" s="47" t="str">
        <f t="shared" si="11"/>
        <v>casa</v>
      </c>
      <c r="L41" s="48">
        <f>IF(H41=OITAVAS!H$48,IF(OITAVAS!J$48=J41,Pesos!$N$6,IF(K41=OITAVAS!K$48,Pesos!$N$3,0)),IF(K41=OITAVAS!K$48,Pesos!$N$3,0))*IF(COUNTIF(K$27:K$47,K41)=1,2,1)</f>
        <v>1</v>
      </c>
      <c r="M41" s="46">
        <f>VLOOKUP($B41,Form_Oitavas!$C$2:$AQ$60,14,FALSE)</f>
        <v>3</v>
      </c>
      <c r="N41" s="9" t="s">
        <v>98</v>
      </c>
      <c r="O41" s="46">
        <f>VLOOKUP($B41,Form_Oitavas!$C$2:$AQ$60,15,FALSE)</f>
        <v>1</v>
      </c>
      <c r="P41" s="47" t="str">
        <f t="shared" si="12"/>
        <v>casa</v>
      </c>
      <c r="Q41" s="48">
        <f>IF(M41=OITAVAS!M$48,IF(OITAVAS!O$48=O41,Pesos!$N$6,IF(P41=OITAVAS!P$48,Pesos!$N$3,0)),IF(P41=OITAVAS!P$48,Pesos!$N$3,0))*IF(COUNTIF(P$27:P$47,P41)=1,2,1)</f>
        <v>0</v>
      </c>
      <c r="R41" s="46">
        <f>VLOOKUP($B41,Form_Oitavas!$C$2:$AQ$60,19,FALSE)</f>
        <v>2</v>
      </c>
      <c r="S41" s="9" t="s">
        <v>98</v>
      </c>
      <c r="T41" s="46">
        <f>VLOOKUP($B41,Form_Oitavas!$C$2:$AQ$60,20,FALSE)</f>
        <v>0</v>
      </c>
      <c r="U41" s="47" t="str">
        <f t="shared" si="13"/>
        <v>casa</v>
      </c>
      <c r="V41" s="48">
        <f>IF(R41=OITAVAS!R$48,IF(OITAVAS!T$48=T41,Pesos!$N$6,IF(U41=OITAVAS!U$48,Pesos!$N$3,0)),IF(U41=OITAVAS!U$48,Pesos!$N$3,0))*IF(COUNTIF(U$27:U$47,U41)=1,2,1)</f>
        <v>1</v>
      </c>
      <c r="W41" s="46">
        <f>VLOOKUP($B41,Form_Oitavas!$C$2:$AQ$60,24,FALSE)</f>
        <v>2</v>
      </c>
      <c r="X41" s="9" t="s">
        <v>98</v>
      </c>
      <c r="Y41" s="46">
        <f>VLOOKUP($B41,Form_Oitavas!$C$2:$AQ$60,25,FALSE)</f>
        <v>0</v>
      </c>
      <c r="Z41" s="47" t="str">
        <f t="shared" si="14"/>
        <v>casa</v>
      </c>
      <c r="AA41" s="48">
        <f>IF(W41=OITAVAS!W$48,IF(OITAVAS!Y$48=Y41,Pesos!$N$6,IF(Z41=OITAVAS!Z$48,Pesos!$N$3,0)),IF(Z41=OITAVAS!Z$48,Pesos!$N$3,0))*IF(COUNTIF(Z$27:Z$47,Z41)=1,2,1)</f>
        <v>1</v>
      </c>
      <c r="AB41" s="46">
        <f>VLOOKUP($B41,Form_Oitavas!$C$2:$AQ$60,29,FALSE)</f>
        <v>1</v>
      </c>
      <c r="AC41" s="9" t="s">
        <v>98</v>
      </c>
      <c r="AD41" s="46">
        <f>VLOOKUP($B41,Form_Oitavas!$C$2:$AQ$60,30,FALSE)</f>
        <v>2</v>
      </c>
      <c r="AE41" s="47" t="str">
        <f t="shared" si="15"/>
        <v>visita</v>
      </c>
      <c r="AF41" s="48">
        <f>IF(AB41=OITAVAS!AB$48,IF(OITAVAS!AD$48=AD41,Pesos!$N$6,IF(AE41=OITAVAS!AE$48,Pesos!$N$3,0)),IF(AE41=OITAVAS!AE$48,Pesos!$N$3,0))*IF(COUNTIF(AE$27:AE$47,AE41)=1,2,1)</f>
        <v>0</v>
      </c>
      <c r="AG41" s="46">
        <f>VLOOKUP($B41,Form_Oitavas!$C$2:$AQ$60,34,FALSE)</f>
        <v>2</v>
      </c>
      <c r="AH41" s="9" t="s">
        <v>98</v>
      </c>
      <c r="AI41" s="46">
        <f>VLOOKUP($B41,Form_Oitavas!$C$2:$AQ$60,35,FALSE)</f>
        <v>1</v>
      </c>
      <c r="AJ41" s="47" t="str">
        <f t="shared" si="16"/>
        <v>casa</v>
      </c>
      <c r="AK41" s="48">
        <f>IF(AG41=OITAVAS!AG$48,IF(OITAVAS!AI$48=AI41,Pesos!$N$6,IF(AJ41=OITAVAS!AJ$48,Pesos!$N$3,0)),IF(AJ41=OITAVAS!AJ$48,Pesos!$N$3,0))*IF(COUNTIF(AJ$27:AJ$47,AJ41)=1,2,1)</f>
        <v>1</v>
      </c>
      <c r="AL41" s="46">
        <f>VLOOKUP($B41,Form_Oitavas!$C$2:$AQ$60,39,FALSE)</f>
        <v>2</v>
      </c>
      <c r="AM41" s="9" t="s">
        <v>98</v>
      </c>
      <c r="AN41" s="46">
        <f>VLOOKUP($B41,Form_Oitavas!$C$2:$AQ$60,40,FALSE)</f>
        <v>0</v>
      </c>
      <c r="AO41" s="47" t="str">
        <f t="shared" si="17"/>
        <v>casa</v>
      </c>
      <c r="AP41" s="48">
        <f>IF(AL41=OITAVAS!AL$48,IF(OITAVAS!AN$48=AN41,Pesos!$N$6,IF(AO41=OITAVAS!AO$48,Pesos!$N$3,0)),IF(AO41=OITAVAS!AO$48,Pesos!$N$3,0))*IF(COUNTIF(AO$27:AO$47,AO41)=1,2,1)</f>
        <v>6</v>
      </c>
      <c r="AQ41" s="41"/>
      <c r="AR41" s="41">
        <f t="shared" si="18"/>
        <v>5</v>
      </c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</row>
    <row r="42" ht="14.25" customHeight="1">
      <c r="A42" s="41"/>
      <c r="B42" s="51" t="s">
        <v>11</v>
      </c>
      <c r="C42" s="46">
        <f>VLOOKUP($B42,Form_Oitavas!$C$2:$AQ$60,4,FALSE)</f>
        <v>1</v>
      </c>
      <c r="D42" s="9" t="s">
        <v>98</v>
      </c>
      <c r="E42" s="46">
        <f>VLOOKUP($B42,Form_Oitavas!$C$2:$AQ$60,5,FALSE)</f>
        <v>0</v>
      </c>
      <c r="F42" s="47" t="str">
        <f t="shared" si="10"/>
        <v>casa</v>
      </c>
      <c r="G42" s="48">
        <f>IF(C42=OITAVAS!C$48,IF(OITAVAS!E$48=E42,Pesos!$N$6,IF(F42=OITAVAS!F$48,Pesos!$N$3,0)),IF(F42=OITAVAS!F$48,Pesos!$N$3,0))*IF(COUNTIF(F$27:F$47,F42)=1,2,1)</f>
        <v>0</v>
      </c>
      <c r="H42" s="46">
        <f>VLOOKUP($B42,Form_Oitavas!$C$2:$AQ$60,9,FALSE)</f>
        <v>0</v>
      </c>
      <c r="I42" s="9" t="s">
        <v>98</v>
      </c>
      <c r="J42" s="46">
        <f>VLOOKUP($B42,Form_Oitavas!$C$2:$AQ$60,10,FALSE)</f>
        <v>0</v>
      </c>
      <c r="K42" s="47" t="str">
        <f t="shared" si="11"/>
        <v>empate</v>
      </c>
      <c r="L42" s="48">
        <f>IF(H42=OITAVAS!H$48,IF(OITAVAS!J$48=J42,Pesos!$N$6,IF(K42=OITAVAS!K$48,Pesos!$N$3,0)),IF(K42=OITAVAS!K$48,Pesos!$N$3,0))*IF(COUNTIF(K$27:K$47,K42)=1,2,1)</f>
        <v>0</v>
      </c>
      <c r="M42" s="46">
        <f>VLOOKUP($B42,Form_Oitavas!$C$2:$AQ$60,14,FALSE)</f>
        <v>2</v>
      </c>
      <c r="N42" s="9" t="s">
        <v>98</v>
      </c>
      <c r="O42" s="46">
        <f>VLOOKUP($B42,Form_Oitavas!$C$2:$AQ$60,15,FALSE)</f>
        <v>2</v>
      </c>
      <c r="P42" s="47" t="str">
        <f t="shared" si="12"/>
        <v>empate</v>
      </c>
      <c r="Q42" s="48">
        <f>IF(M42=OITAVAS!M$48,IF(OITAVAS!O$48=O42,Pesos!$N$6,IF(P42=OITAVAS!P$48,Pesos!$N$3,0)),IF(P42=OITAVAS!P$48,Pesos!$N$3,0))*IF(COUNTIF(P$27:P$47,P42)=1,2,1)</f>
        <v>0</v>
      </c>
      <c r="R42" s="46">
        <f>VLOOKUP($B42,Form_Oitavas!$C$2:$AQ$60,19,FALSE)</f>
        <v>1</v>
      </c>
      <c r="S42" s="9" t="s">
        <v>98</v>
      </c>
      <c r="T42" s="46">
        <f>VLOOKUP($B42,Form_Oitavas!$C$2:$AQ$60,20,FALSE)</f>
        <v>0</v>
      </c>
      <c r="U42" s="47" t="str">
        <f t="shared" si="13"/>
        <v>casa</v>
      </c>
      <c r="V42" s="48">
        <f>IF(R42=OITAVAS!R$48,IF(OITAVAS!T$48=T42,Pesos!$N$6,IF(U42=OITAVAS!U$48,Pesos!$N$3,0)),IF(U42=OITAVAS!U$48,Pesos!$N$3,0))*IF(COUNTIF(U$27:U$47,U42)=1,2,1)</f>
        <v>1</v>
      </c>
      <c r="W42" s="46">
        <f>VLOOKUP($B42,Form_Oitavas!$C$2:$AQ$60,24,FALSE)</f>
        <v>2</v>
      </c>
      <c r="X42" s="9" t="s">
        <v>98</v>
      </c>
      <c r="Y42" s="46">
        <f>VLOOKUP($B42,Form_Oitavas!$C$2:$AQ$60,25,FALSE)</f>
        <v>0</v>
      </c>
      <c r="Z42" s="47" t="str">
        <f t="shared" si="14"/>
        <v>casa</v>
      </c>
      <c r="AA42" s="48">
        <f>IF(W42=OITAVAS!W$48,IF(OITAVAS!Y$48=Y42,Pesos!$N$6,IF(Z42=OITAVAS!Z$48,Pesos!$N$3,0)),IF(Z42=OITAVAS!Z$48,Pesos!$N$3,0))*IF(COUNTIF(Z$27:Z$47,Z42)=1,2,1)</f>
        <v>1</v>
      </c>
      <c r="AB42" s="46">
        <f>VLOOKUP($B42,Form_Oitavas!$C$2:$AQ$60,29,FALSE)</f>
        <v>2</v>
      </c>
      <c r="AC42" s="9" t="s">
        <v>98</v>
      </c>
      <c r="AD42" s="46">
        <f>VLOOKUP($B42,Form_Oitavas!$C$2:$AQ$60,30,FALSE)</f>
        <v>0</v>
      </c>
      <c r="AE42" s="47" t="str">
        <f t="shared" si="15"/>
        <v>casa</v>
      </c>
      <c r="AF42" s="48">
        <f>IF(AB42=OITAVAS!AB$48,IF(OITAVAS!AD$48=AD42,Pesos!$N$6,IF(AE42=OITAVAS!AE$48,Pesos!$N$3,0)),IF(AE42=OITAVAS!AE$48,Pesos!$N$3,0))*IF(COUNTIF(AE$27:AE$47,AE42)=1,2,1)</f>
        <v>1</v>
      </c>
      <c r="AG42" s="46">
        <f>VLOOKUP($B42,Form_Oitavas!$C$2:$AQ$60,34,FALSE)</f>
        <v>2</v>
      </c>
      <c r="AH42" s="9" t="s">
        <v>98</v>
      </c>
      <c r="AI42" s="46">
        <f>VLOOKUP($B42,Form_Oitavas!$C$2:$AQ$60,35,FALSE)</f>
        <v>1</v>
      </c>
      <c r="AJ42" s="47" t="str">
        <f t="shared" si="16"/>
        <v>casa</v>
      </c>
      <c r="AK42" s="48">
        <f>IF(AG42=OITAVAS!AG$48,IF(OITAVAS!AI$48=AI42,Pesos!$N$6,IF(AJ42=OITAVAS!AJ$48,Pesos!$N$3,0)),IF(AJ42=OITAVAS!AJ$48,Pesos!$N$3,0))*IF(COUNTIF(AJ$27:AJ$47,AJ42)=1,2,1)</f>
        <v>1</v>
      </c>
      <c r="AL42" s="46">
        <f>VLOOKUP($B42,Form_Oitavas!$C$2:$AQ$60,39,FALSE)</f>
        <v>1</v>
      </c>
      <c r="AM42" s="9" t="s">
        <v>98</v>
      </c>
      <c r="AN42" s="46">
        <f>VLOOKUP($B42,Form_Oitavas!$C$2:$AQ$60,40,FALSE)</f>
        <v>0</v>
      </c>
      <c r="AO42" s="47" t="str">
        <f t="shared" si="17"/>
        <v>casa</v>
      </c>
      <c r="AP42" s="48">
        <f>IF(AL42=OITAVAS!AL$48,IF(OITAVAS!AN$48=AN42,Pesos!$N$6,IF(AO42=OITAVAS!AO$48,Pesos!$N$3,0)),IF(AO42=OITAVAS!AO$48,Pesos!$N$3,0))*IF(COUNTIF(AO$27:AO$47,AO42)=1,2,1)</f>
        <v>1</v>
      </c>
      <c r="AQ42" s="41"/>
      <c r="AR42" s="41">
        <f t="shared" si="18"/>
        <v>5</v>
      </c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</row>
    <row r="43" ht="14.25" customHeight="1">
      <c r="A43" s="41"/>
      <c r="B43" s="51" t="s">
        <v>7</v>
      </c>
      <c r="C43" s="46">
        <f>VLOOKUP($B43,Form_Oitavas!$C$2:$AQ$60,4,FALSE)</f>
        <v>3</v>
      </c>
      <c r="D43" s="48" t="s">
        <v>98</v>
      </c>
      <c r="E43" s="46">
        <f>VLOOKUP($B43,Form_Oitavas!$C$2:$AQ$60,5,FALSE)</f>
        <v>3</v>
      </c>
      <c r="F43" s="47" t="str">
        <f t="shared" si="10"/>
        <v>empate</v>
      </c>
      <c r="G43" s="48">
        <f>IF(C43=OITAVAS!C$48,IF(OITAVAS!E$48=E43,Pesos!$N$6,IF(F43=OITAVAS!F$48,Pesos!$N$3,0)),IF(F43=OITAVAS!F$48,Pesos!$N$3,0))*IF(COUNTIF(F$27:F$47,F43)=1,2,1)</f>
        <v>0</v>
      </c>
      <c r="H43" s="46">
        <f>VLOOKUP($B43,Form_Oitavas!$C$2:$AQ$60,9,FALSE)</f>
        <v>2</v>
      </c>
      <c r="I43" s="48" t="s">
        <v>98</v>
      </c>
      <c r="J43" s="46">
        <f>VLOOKUP($B43,Form_Oitavas!$C$2:$AQ$60,10,FALSE)</f>
        <v>1</v>
      </c>
      <c r="K43" s="47" t="str">
        <f t="shared" si="11"/>
        <v>casa</v>
      </c>
      <c r="L43" s="48">
        <f>IF(H43=OITAVAS!H$48,IF(OITAVAS!J$48=J43,Pesos!$N$6,IF(K43=OITAVAS!K$48,Pesos!$N$3,0)),IF(K43=OITAVAS!K$48,Pesos!$N$3,0))*IF(COUNTIF(K$27:K$47,K43)=1,2,1)</f>
        <v>1</v>
      </c>
      <c r="M43" s="46">
        <f>VLOOKUP($B43,Form_Oitavas!$C$2:$AQ$60,14,FALSE)</f>
        <v>1</v>
      </c>
      <c r="N43" s="9" t="s">
        <v>98</v>
      </c>
      <c r="O43" s="46">
        <f>VLOOKUP($B43,Form_Oitavas!$C$2:$AQ$60,15,FALSE)</f>
        <v>2</v>
      </c>
      <c r="P43" s="47" t="str">
        <f t="shared" si="12"/>
        <v>visita</v>
      </c>
      <c r="Q43" s="48">
        <f>IF(M43=OITAVAS!M$48,IF(OITAVAS!O$48=O43,Pesos!$N$6,IF(P43=OITAVAS!P$48,Pesos!$N$3,0)),IF(P43=OITAVAS!P$48,Pesos!$N$3,0))*IF(COUNTIF(P$27:P$47,P43)=1,2,1)</f>
        <v>6</v>
      </c>
      <c r="R43" s="46">
        <f>VLOOKUP($B43,Form_Oitavas!$C$2:$AQ$60,19,FALSE)</f>
        <v>4</v>
      </c>
      <c r="S43" s="48" t="s">
        <v>98</v>
      </c>
      <c r="T43" s="46">
        <f>VLOOKUP($B43,Form_Oitavas!$C$2:$AQ$60,20,FALSE)</f>
        <v>0</v>
      </c>
      <c r="U43" s="47" t="str">
        <f t="shared" si="13"/>
        <v>casa</v>
      </c>
      <c r="V43" s="48">
        <f>IF(R43=OITAVAS!R$48,IF(OITAVAS!T$48=T43,Pesos!$N$6,IF(U43=OITAVAS!U$48,Pesos!$N$3,0)),IF(U43=OITAVAS!U$48,Pesos!$N$3,0))*IF(COUNTIF(U$27:U$47,U43)=1,2,1)</f>
        <v>1</v>
      </c>
      <c r="W43" s="46">
        <f>VLOOKUP($B43,Form_Oitavas!$C$2:$AQ$60,24,FALSE)</f>
        <v>4</v>
      </c>
      <c r="X43" s="48" t="s">
        <v>98</v>
      </c>
      <c r="Y43" s="46">
        <f>VLOOKUP($B43,Form_Oitavas!$C$2:$AQ$60,25,FALSE)</f>
        <v>1</v>
      </c>
      <c r="Z43" s="47" t="str">
        <f t="shared" si="14"/>
        <v>casa</v>
      </c>
      <c r="AA43" s="48">
        <f>IF(W43=OITAVAS!W$48,IF(OITAVAS!Y$48=Y43,Pesos!$N$6,IF(Z43=OITAVAS!Z$48,Pesos!$N$3,0)),IF(Z43=OITAVAS!Z$48,Pesos!$N$3,0))*IF(COUNTIF(Z$27:Z$47,Z43)=1,2,1)</f>
        <v>1</v>
      </c>
      <c r="AB43" s="46">
        <f>VLOOKUP($B43,Form_Oitavas!$C$2:$AQ$60,29,FALSE)</f>
        <v>2</v>
      </c>
      <c r="AC43" s="48" t="s">
        <v>98</v>
      </c>
      <c r="AD43" s="46">
        <f>VLOOKUP($B43,Form_Oitavas!$C$2:$AQ$60,30,FALSE)</f>
        <v>2</v>
      </c>
      <c r="AE43" s="47" t="str">
        <f t="shared" si="15"/>
        <v>empate</v>
      </c>
      <c r="AF43" s="48">
        <f>IF(AB43=OITAVAS!AB$48,IF(OITAVAS!AD$48=AD43,Pesos!$N$6,IF(AE43=OITAVAS!AE$48,Pesos!$N$3,0)),IF(AE43=OITAVAS!AE$48,Pesos!$N$3,0))*IF(COUNTIF(AE$27:AE$47,AE43)=1,2,1)</f>
        <v>0</v>
      </c>
      <c r="AG43" s="46">
        <f>VLOOKUP($B43,Form_Oitavas!$C$2:$AQ$60,34,FALSE)</f>
        <v>3</v>
      </c>
      <c r="AH43" s="48" t="s">
        <v>98</v>
      </c>
      <c r="AI43" s="46">
        <f>VLOOKUP($B43,Form_Oitavas!$C$2:$AQ$60,35,FALSE)</f>
        <v>2</v>
      </c>
      <c r="AJ43" s="47" t="str">
        <f t="shared" si="16"/>
        <v>casa</v>
      </c>
      <c r="AK43" s="48">
        <f>IF(AG43=OITAVAS!AG$48,IF(OITAVAS!AI$48=AI43,Pesos!$N$6,IF(AJ43=OITAVAS!AJ$48,Pesos!$N$3,0)),IF(AJ43=OITAVAS!AJ$48,Pesos!$N$3,0))*IF(COUNTIF(AJ$27:AJ$47,AJ43)=1,2,1)</f>
        <v>1</v>
      </c>
      <c r="AL43" s="46">
        <f>VLOOKUP($B43,Form_Oitavas!$C$2:$AQ$60,39,FALSE)</f>
        <v>4</v>
      </c>
      <c r="AM43" s="48" t="s">
        <v>98</v>
      </c>
      <c r="AN43" s="46">
        <f>VLOOKUP($B43,Form_Oitavas!$C$2:$AQ$60,40,FALSE)</f>
        <v>2</v>
      </c>
      <c r="AO43" s="47" t="str">
        <f t="shared" si="17"/>
        <v>casa</v>
      </c>
      <c r="AP43" s="48">
        <f>IF(AL43=OITAVAS!AL$48,IF(OITAVAS!AN$48=AN43,Pesos!$N$6,IF(AO43=OITAVAS!AO$48,Pesos!$N$3,0)),IF(AO43=OITAVAS!AO$48,Pesos!$N$3,0))*IF(COUNTIF(AO$27:AO$47,AO43)=1,2,1)</f>
        <v>1</v>
      </c>
      <c r="AQ43" s="41"/>
      <c r="AR43" s="41">
        <f t="shared" si="18"/>
        <v>6</v>
      </c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</row>
    <row r="44" ht="14.25" customHeight="1">
      <c r="A44" s="41"/>
      <c r="B44" s="52" t="s">
        <v>19</v>
      </c>
      <c r="C44" s="46">
        <f>VLOOKUP($B44,Form_Oitavas!$C$2:$AQ$60,4,FALSE)</f>
        <v>1</v>
      </c>
      <c r="D44" s="57" t="s">
        <v>98</v>
      </c>
      <c r="E44" s="46">
        <f>VLOOKUP($B44,Form_Oitavas!$C$2:$AQ$60,5,FALSE)</f>
        <v>1</v>
      </c>
      <c r="F44" s="47" t="str">
        <f t="shared" si="10"/>
        <v>empate</v>
      </c>
      <c r="G44" s="48">
        <f>IF(C44=OITAVAS!C$48,IF(OITAVAS!E$48=E44,Pesos!$N$6,IF(F44=OITAVAS!F$48,Pesos!$N$3,0)),IF(F44=OITAVAS!F$48,Pesos!$N$3,0))*IF(COUNTIF(F$27:F$47,F44)=1,2,1)</f>
        <v>0</v>
      </c>
      <c r="H44" s="46">
        <f>VLOOKUP($B44,Form_Oitavas!$C$2:$AQ$60,9,FALSE)</f>
        <v>2</v>
      </c>
      <c r="I44" s="57" t="s">
        <v>98</v>
      </c>
      <c r="J44" s="46">
        <f>VLOOKUP($B44,Form_Oitavas!$C$2:$AQ$60,10,FALSE)</f>
        <v>0</v>
      </c>
      <c r="K44" s="47" t="str">
        <f t="shared" si="11"/>
        <v>casa</v>
      </c>
      <c r="L44" s="48">
        <f>IF(H44=OITAVAS!H$48,IF(OITAVAS!J$48=J44,Pesos!$N$6,IF(K44=OITAVAS!K$48,Pesos!$N$3,0)),IF(K44=OITAVAS!K$48,Pesos!$N$3,0))*IF(COUNTIF(K$27:K$47,K44)=1,2,1)</f>
        <v>1</v>
      </c>
      <c r="M44" s="46">
        <f>VLOOKUP($B44,Form_Oitavas!$C$2:$AQ$60,14,FALSE)</f>
        <v>2</v>
      </c>
      <c r="N44" s="46" t="s">
        <v>98</v>
      </c>
      <c r="O44" s="46">
        <f>VLOOKUP($B44,Form_Oitavas!$C$2:$AQ$60,15,FALSE)</f>
        <v>1</v>
      </c>
      <c r="P44" s="47" t="str">
        <f t="shared" si="12"/>
        <v>casa</v>
      </c>
      <c r="Q44" s="48">
        <f>IF(M44=OITAVAS!M$48,IF(OITAVAS!O$48=O44,Pesos!$N$6,IF(P44=OITAVAS!P$48,Pesos!$N$3,0)),IF(P44=OITAVAS!P$48,Pesos!$N$3,0))*IF(COUNTIF(P$27:P$47,P44)=1,2,1)</f>
        <v>0</v>
      </c>
      <c r="R44" s="46">
        <f>VLOOKUP($B44,Form_Oitavas!$C$2:$AQ$60,19,FALSE)</f>
        <v>3</v>
      </c>
      <c r="S44" s="57" t="s">
        <v>98</v>
      </c>
      <c r="T44" s="46">
        <f>VLOOKUP($B44,Form_Oitavas!$C$2:$AQ$60,20,FALSE)</f>
        <v>1</v>
      </c>
      <c r="U44" s="47" t="str">
        <f t="shared" si="13"/>
        <v>casa</v>
      </c>
      <c r="V44" s="48">
        <f>IF(R44=OITAVAS!R$48,IF(OITAVAS!T$48=T44,Pesos!$N$6,IF(U44=OITAVAS!U$48,Pesos!$N$3,0)),IF(U44=OITAVAS!U$48,Pesos!$N$3,0))*IF(COUNTIF(U$27:U$47,U44)=1,2,1)</f>
        <v>1</v>
      </c>
      <c r="W44" s="46">
        <f>VLOOKUP($B44,Form_Oitavas!$C$2:$AQ$60,24,FALSE)</f>
        <v>1</v>
      </c>
      <c r="X44" s="57" t="s">
        <v>98</v>
      </c>
      <c r="Y44" s="46">
        <f>VLOOKUP($B44,Form_Oitavas!$C$2:$AQ$60,25,FALSE)</f>
        <v>1</v>
      </c>
      <c r="Z44" s="47" t="str">
        <f t="shared" si="14"/>
        <v>empate</v>
      </c>
      <c r="AA44" s="48">
        <f>IF(W44=OITAVAS!W$48,IF(OITAVAS!Y$48=Y44,Pesos!$N$6,IF(Z44=OITAVAS!Z$48,Pesos!$N$3,0)),IF(Z44=OITAVAS!Z$48,Pesos!$N$3,0))*IF(COUNTIF(Z$27:Z$47,Z44)=1,2,1)</f>
        <v>0</v>
      </c>
      <c r="AB44" s="46">
        <f>VLOOKUP($B44,Form_Oitavas!$C$2:$AQ$60,29,FALSE)</f>
        <v>2</v>
      </c>
      <c r="AC44" s="57" t="s">
        <v>98</v>
      </c>
      <c r="AD44" s="46">
        <f>VLOOKUP($B44,Form_Oitavas!$C$2:$AQ$60,30,FALSE)</f>
        <v>1</v>
      </c>
      <c r="AE44" s="47" t="str">
        <f t="shared" si="15"/>
        <v>casa</v>
      </c>
      <c r="AF44" s="48">
        <f>IF(AB44=OITAVAS!AB$48,IF(OITAVAS!AD$48=AD44,Pesos!$N$6,IF(AE44=OITAVAS!AE$48,Pesos!$N$3,0)),IF(AE44=OITAVAS!AE$48,Pesos!$N$3,0))*IF(COUNTIF(AE$27:AE$47,AE44)=1,2,1)</f>
        <v>1</v>
      </c>
      <c r="AG44" s="46">
        <f>VLOOKUP($B44,Form_Oitavas!$C$2:$AQ$60,34,FALSE)</f>
        <v>3</v>
      </c>
      <c r="AH44" s="57" t="s">
        <v>98</v>
      </c>
      <c r="AI44" s="46">
        <f>VLOOKUP($B44,Form_Oitavas!$C$2:$AQ$60,35,FALSE)</f>
        <v>0</v>
      </c>
      <c r="AJ44" s="47" t="str">
        <f t="shared" si="16"/>
        <v>casa</v>
      </c>
      <c r="AK44" s="48">
        <f>IF(AG44=OITAVAS!AG$48,IF(OITAVAS!AI$48=AI44,Pesos!$N$6,IF(AJ44=OITAVAS!AJ$48,Pesos!$N$3,0)),IF(AJ44=OITAVAS!AJ$48,Pesos!$N$3,0))*IF(COUNTIF(AJ$27:AJ$47,AJ44)=1,2,1)</f>
        <v>6</v>
      </c>
      <c r="AL44" s="46">
        <f>VLOOKUP($B44,Form_Oitavas!$C$2:$AQ$60,39,FALSE)</f>
        <v>2</v>
      </c>
      <c r="AM44" s="57" t="s">
        <v>98</v>
      </c>
      <c r="AN44" s="46">
        <f>VLOOKUP($B44,Form_Oitavas!$C$2:$AQ$60,40,FALSE)</f>
        <v>1</v>
      </c>
      <c r="AO44" s="47" t="str">
        <f t="shared" si="17"/>
        <v>casa</v>
      </c>
      <c r="AP44" s="48">
        <f>IF(AL44=OITAVAS!AL$48,IF(OITAVAS!AN$48=AN44,Pesos!$N$6,IF(AO44=OITAVAS!AO$48,Pesos!$N$3,0)),IF(AO44=OITAVAS!AO$48,Pesos!$N$3,0))*IF(COUNTIF(AO$27:AO$47,AO44)=1,2,1)</f>
        <v>1</v>
      </c>
      <c r="AQ44" s="41"/>
      <c r="AR44" s="41">
        <f t="shared" si="18"/>
        <v>5</v>
      </c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</row>
    <row r="45" ht="14.25" customHeight="1">
      <c r="A45" s="41"/>
      <c r="B45" s="52" t="s">
        <v>20</v>
      </c>
      <c r="C45" s="46">
        <f>VLOOKUP($B45,Form_Oitavas!$C$2:$AQ$60,4,FALSE)</f>
        <v>3</v>
      </c>
      <c r="D45" s="57" t="s">
        <v>98</v>
      </c>
      <c r="E45" s="46">
        <f>VLOOKUP($B45,Form_Oitavas!$C$2:$AQ$60,5,FALSE)</f>
        <v>0</v>
      </c>
      <c r="F45" s="47" t="str">
        <f t="shared" si="10"/>
        <v>casa</v>
      </c>
      <c r="G45" s="48">
        <f>IF(C45=OITAVAS!C$48,IF(OITAVAS!E$48=E45,Pesos!$N$6,IF(F45=OITAVAS!F$48,Pesos!$N$3,0)),IF(F45=OITAVAS!F$48,Pesos!$N$3,0))*IF(COUNTIF(F$27:F$47,F45)=1,2,1)</f>
        <v>0</v>
      </c>
      <c r="H45" s="46">
        <f>VLOOKUP($B45,Form_Oitavas!$C$2:$AQ$60,9,FALSE)</f>
        <v>2</v>
      </c>
      <c r="I45" s="57" t="s">
        <v>98</v>
      </c>
      <c r="J45" s="46">
        <f>VLOOKUP($B45,Form_Oitavas!$C$2:$AQ$60,10,FALSE)</f>
        <v>1</v>
      </c>
      <c r="K45" s="47" t="str">
        <f t="shared" si="11"/>
        <v>casa</v>
      </c>
      <c r="L45" s="48">
        <f>IF(H45=OITAVAS!H$48,IF(OITAVAS!J$48=J45,Pesos!$N$6,IF(K45=OITAVAS!K$48,Pesos!$N$3,0)),IF(K45=OITAVAS!K$48,Pesos!$N$3,0))*IF(COUNTIF(K$27:K$47,K45)=1,2,1)</f>
        <v>1</v>
      </c>
      <c r="M45" s="46">
        <f>VLOOKUP($B45,Form_Oitavas!$C$2:$AQ$60,14,FALSE)</f>
        <v>3</v>
      </c>
      <c r="N45" s="46" t="s">
        <v>98</v>
      </c>
      <c r="O45" s="46">
        <f>VLOOKUP($B45,Form_Oitavas!$C$2:$AQ$60,15,FALSE)</f>
        <v>1</v>
      </c>
      <c r="P45" s="47" t="str">
        <f t="shared" si="12"/>
        <v>casa</v>
      </c>
      <c r="Q45" s="48">
        <f>IF(M45=OITAVAS!M$48,IF(OITAVAS!O$48=O45,Pesos!$N$6,IF(P45=OITAVAS!P$48,Pesos!$N$3,0)),IF(P45=OITAVAS!P$48,Pesos!$N$3,0))*IF(COUNTIF(P$27:P$47,P45)=1,2,1)</f>
        <v>0</v>
      </c>
      <c r="R45" s="46">
        <f>VLOOKUP($B45,Form_Oitavas!$C$2:$AQ$60,19,FALSE)</f>
        <v>2</v>
      </c>
      <c r="S45" s="57" t="s">
        <v>98</v>
      </c>
      <c r="T45" s="46">
        <f>VLOOKUP($B45,Form_Oitavas!$C$2:$AQ$60,20,FALSE)</f>
        <v>1</v>
      </c>
      <c r="U45" s="47" t="str">
        <f t="shared" si="13"/>
        <v>casa</v>
      </c>
      <c r="V45" s="48">
        <f>IF(R45=OITAVAS!R$48,IF(OITAVAS!T$48=T45,Pesos!$N$6,IF(U45=OITAVAS!U$48,Pesos!$N$3,0)),IF(U45=OITAVAS!U$48,Pesos!$N$3,0))*IF(COUNTIF(U$27:U$47,U45)=1,2,1)</f>
        <v>1</v>
      </c>
      <c r="W45" s="46">
        <f>VLOOKUP($B45,Form_Oitavas!$C$2:$AQ$60,24,FALSE)</f>
        <v>4</v>
      </c>
      <c r="X45" s="57" t="s">
        <v>98</v>
      </c>
      <c r="Y45" s="46">
        <f>VLOOKUP($B45,Form_Oitavas!$C$2:$AQ$60,25,FALSE)</f>
        <v>1</v>
      </c>
      <c r="Z45" s="47" t="str">
        <f t="shared" si="14"/>
        <v>casa</v>
      </c>
      <c r="AA45" s="48">
        <f>IF(W45=OITAVAS!W$48,IF(OITAVAS!Y$48=Y45,Pesos!$N$6,IF(Z45=OITAVAS!Z$48,Pesos!$N$3,0)),IF(Z45=OITAVAS!Z$48,Pesos!$N$3,0))*IF(COUNTIF(Z$27:Z$47,Z45)=1,2,1)</f>
        <v>1</v>
      </c>
      <c r="AB45" s="46">
        <f>VLOOKUP($B45,Form_Oitavas!$C$2:$AQ$60,29,FALSE)</f>
        <v>1</v>
      </c>
      <c r="AC45" s="57" t="s">
        <v>98</v>
      </c>
      <c r="AD45" s="46">
        <f>VLOOKUP($B45,Form_Oitavas!$C$2:$AQ$60,30,FALSE)</f>
        <v>1</v>
      </c>
      <c r="AE45" s="47" t="str">
        <f t="shared" si="15"/>
        <v>empate</v>
      </c>
      <c r="AF45" s="48">
        <f>IF(AB45=OITAVAS!AB$48,IF(OITAVAS!AD$48=AD45,Pesos!$N$6,IF(AE45=OITAVAS!AE$48,Pesos!$N$3,0)),IF(AE45=OITAVAS!AE$48,Pesos!$N$3,0))*IF(COUNTIF(AE$27:AE$47,AE45)=1,2,1)</f>
        <v>0</v>
      </c>
      <c r="AG45" s="46">
        <f>VLOOKUP($B45,Form_Oitavas!$C$2:$AQ$60,34,FALSE)</f>
        <v>2</v>
      </c>
      <c r="AH45" s="57" t="s">
        <v>98</v>
      </c>
      <c r="AI45" s="46">
        <f>VLOOKUP($B45,Form_Oitavas!$C$2:$AQ$60,35,FALSE)</f>
        <v>1</v>
      </c>
      <c r="AJ45" s="47" t="str">
        <f t="shared" si="16"/>
        <v>casa</v>
      </c>
      <c r="AK45" s="48">
        <f>IF(AG45=OITAVAS!AG$48,IF(OITAVAS!AI$48=AI45,Pesos!$N$6,IF(AJ45=OITAVAS!AJ$48,Pesos!$N$3,0)),IF(AJ45=OITAVAS!AJ$48,Pesos!$N$3,0))*IF(COUNTIF(AJ$27:AJ$47,AJ45)=1,2,1)</f>
        <v>1</v>
      </c>
      <c r="AL45" s="46">
        <f>VLOOKUP($B45,Form_Oitavas!$C$2:$AQ$60,39,FALSE)</f>
        <v>1</v>
      </c>
      <c r="AM45" s="57" t="s">
        <v>98</v>
      </c>
      <c r="AN45" s="46">
        <f>VLOOKUP($B45,Form_Oitavas!$C$2:$AQ$60,40,FALSE)</f>
        <v>1</v>
      </c>
      <c r="AO45" s="47" t="str">
        <f t="shared" si="17"/>
        <v>empate</v>
      </c>
      <c r="AP45" s="48">
        <f>IF(AL45=OITAVAS!AL$48,IF(OITAVAS!AN$48=AN45,Pesos!$N$6,IF(AO45=OITAVAS!AO$48,Pesos!$N$3,0)),IF(AO45=OITAVAS!AO$48,Pesos!$N$3,0))*IF(COUNTIF(AO$27:AO$47,AO45)=1,2,1)</f>
        <v>0</v>
      </c>
      <c r="AQ45" s="41"/>
      <c r="AR45" s="41">
        <f t="shared" si="18"/>
        <v>4</v>
      </c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</row>
    <row r="46" ht="14.25" customHeight="1">
      <c r="A46" s="41"/>
      <c r="B46" s="52" t="s">
        <v>21</v>
      </c>
      <c r="C46" s="46">
        <f>VLOOKUP($B46,Form_Oitavas!$C$2:$AQ$60,4,FALSE)</f>
        <v>1</v>
      </c>
      <c r="D46" s="57" t="s">
        <v>98</v>
      </c>
      <c r="E46" s="46">
        <f>VLOOKUP($B46,Form_Oitavas!$C$2:$AQ$60,5,FALSE)</f>
        <v>1</v>
      </c>
      <c r="F46" s="47" t="str">
        <f t="shared" si="10"/>
        <v>empate</v>
      </c>
      <c r="G46" s="48">
        <f>IF(C46=OITAVAS!C$48,IF(OITAVAS!E$48=E46,Pesos!$N$6,IF(F46=OITAVAS!F$48,Pesos!$N$3,0)),IF(F46=OITAVAS!F$48,Pesos!$N$3,0))*IF(COUNTIF(F$27:F$47,F46)=1,2,1)</f>
        <v>0</v>
      </c>
      <c r="H46" s="46">
        <f>VLOOKUP($B46,Form_Oitavas!$C$2:$AQ$60,9,FALSE)</f>
        <v>2</v>
      </c>
      <c r="I46" s="57" t="s">
        <v>98</v>
      </c>
      <c r="J46" s="46">
        <f>VLOOKUP($B46,Form_Oitavas!$C$2:$AQ$60,10,FALSE)</f>
        <v>1</v>
      </c>
      <c r="K46" s="47" t="str">
        <f t="shared" si="11"/>
        <v>casa</v>
      </c>
      <c r="L46" s="48">
        <f>IF(H46=OITAVAS!H$48,IF(OITAVAS!J$48=J46,Pesos!$N$6,IF(K46=OITAVAS!K$48,Pesos!$N$3,0)),IF(K46=OITAVAS!K$48,Pesos!$N$3,0))*IF(COUNTIF(K$27:K$47,K46)=1,2,1)</f>
        <v>1</v>
      </c>
      <c r="M46" s="46">
        <f>VLOOKUP($B46,Form_Oitavas!$C$2:$AQ$60,14,FALSE)</f>
        <v>2</v>
      </c>
      <c r="N46" s="46" t="s">
        <v>98</v>
      </c>
      <c r="O46" s="46">
        <f>VLOOKUP($B46,Form_Oitavas!$C$2:$AQ$60,15,FALSE)</f>
        <v>2</v>
      </c>
      <c r="P46" s="47" t="str">
        <f t="shared" si="12"/>
        <v>empate</v>
      </c>
      <c r="Q46" s="48">
        <f>IF(M46=OITAVAS!M$48,IF(OITAVAS!O$48=O46,Pesos!$N$6,IF(P46=OITAVAS!P$48,Pesos!$N$3,0)),IF(P46=OITAVAS!P$48,Pesos!$N$3,0))*IF(COUNTIF(P$27:P$47,P46)=1,2,1)</f>
        <v>0</v>
      </c>
      <c r="R46" s="46">
        <f>VLOOKUP($B46,Form_Oitavas!$C$2:$AQ$60,19,FALSE)</f>
        <v>2</v>
      </c>
      <c r="S46" s="57" t="s">
        <v>98</v>
      </c>
      <c r="T46" s="46">
        <f>VLOOKUP($B46,Form_Oitavas!$C$2:$AQ$60,20,FALSE)</f>
        <v>1</v>
      </c>
      <c r="U46" s="47" t="str">
        <f t="shared" si="13"/>
        <v>casa</v>
      </c>
      <c r="V46" s="48">
        <f>IF(R46=OITAVAS!R$48,IF(OITAVAS!T$48=T46,Pesos!$N$6,IF(U46=OITAVAS!U$48,Pesos!$N$3,0)),IF(U46=OITAVAS!U$48,Pesos!$N$3,0))*IF(COUNTIF(U$27:U$47,U46)=1,2,1)</f>
        <v>1</v>
      </c>
      <c r="W46" s="46">
        <f>VLOOKUP($B46,Form_Oitavas!$C$2:$AQ$60,24,FALSE)</f>
        <v>1</v>
      </c>
      <c r="X46" s="57" t="s">
        <v>98</v>
      </c>
      <c r="Y46" s="46">
        <f>VLOOKUP($B46,Form_Oitavas!$C$2:$AQ$60,25,FALSE)</f>
        <v>0</v>
      </c>
      <c r="Z46" s="47" t="str">
        <f t="shared" si="14"/>
        <v>casa</v>
      </c>
      <c r="AA46" s="48">
        <f>IF(W46=OITAVAS!W$48,IF(OITAVAS!Y$48=Y46,Pesos!$N$6,IF(Z46=OITAVAS!Z$48,Pesos!$N$3,0)),IF(Z46=OITAVAS!Z$48,Pesos!$N$3,0))*IF(COUNTIF(Z$27:Z$47,Z46)=1,2,1)</f>
        <v>1</v>
      </c>
      <c r="AB46" s="46">
        <f>VLOOKUP($B46,Form_Oitavas!$C$2:$AQ$60,29,FALSE)</f>
        <v>2</v>
      </c>
      <c r="AC46" s="57" t="s">
        <v>98</v>
      </c>
      <c r="AD46" s="46">
        <f>VLOOKUP($B46,Form_Oitavas!$C$2:$AQ$60,30,FALSE)</f>
        <v>1</v>
      </c>
      <c r="AE46" s="47" t="str">
        <f t="shared" si="15"/>
        <v>casa</v>
      </c>
      <c r="AF46" s="48">
        <f>IF(AB46=OITAVAS!AB$48,IF(OITAVAS!AD$48=AD46,Pesos!$N$6,IF(AE46=OITAVAS!AE$48,Pesos!$N$3,0)),IF(AE46=OITAVAS!AE$48,Pesos!$N$3,0))*IF(COUNTIF(AE$27:AE$47,AE46)=1,2,1)</f>
        <v>1</v>
      </c>
      <c r="AG46" s="46">
        <f>VLOOKUP($B46,Form_Oitavas!$C$2:$AQ$60,34,FALSE)</f>
        <v>2</v>
      </c>
      <c r="AH46" s="57" t="s">
        <v>98</v>
      </c>
      <c r="AI46" s="46">
        <f>VLOOKUP($B46,Form_Oitavas!$C$2:$AQ$60,35,FALSE)</f>
        <v>1</v>
      </c>
      <c r="AJ46" s="47" t="str">
        <f t="shared" si="16"/>
        <v>casa</v>
      </c>
      <c r="AK46" s="48">
        <f>IF(AG46=OITAVAS!AG$48,IF(OITAVAS!AI$48=AI46,Pesos!$N$6,IF(AJ46=OITAVAS!AJ$48,Pesos!$N$3,0)),IF(AJ46=OITAVAS!AJ$48,Pesos!$N$3,0))*IF(COUNTIF(AJ$27:AJ$47,AJ46)=1,2,1)</f>
        <v>1</v>
      </c>
      <c r="AL46" s="46">
        <f>VLOOKUP($B46,Form_Oitavas!$C$2:$AQ$60,39,FALSE)</f>
        <v>2</v>
      </c>
      <c r="AM46" s="57" t="s">
        <v>98</v>
      </c>
      <c r="AN46" s="46">
        <f>VLOOKUP($B46,Form_Oitavas!$C$2:$AQ$60,40,FALSE)</f>
        <v>0</v>
      </c>
      <c r="AO46" s="47" t="str">
        <f t="shared" si="17"/>
        <v>casa</v>
      </c>
      <c r="AP46" s="48">
        <f>IF(AL46=OITAVAS!AL$48,IF(OITAVAS!AN$48=AN46,Pesos!$N$6,IF(AO46=OITAVAS!AO$48,Pesos!$N$3,0)),IF(AO46=OITAVAS!AO$48,Pesos!$N$3,0))*IF(COUNTIF(AO$27:AO$47,AO46)=1,2,1)</f>
        <v>6</v>
      </c>
      <c r="AQ46" s="41"/>
      <c r="AR46" s="41">
        <f t="shared" si="18"/>
        <v>6</v>
      </c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</row>
    <row r="47" ht="14.25" customHeight="1">
      <c r="A47" s="41"/>
      <c r="B47" s="52" t="s">
        <v>22</v>
      </c>
      <c r="C47" s="46">
        <f>VLOOKUP($B47,Form_Oitavas!$C$2:$AQ$60,4,FALSE)</f>
        <v>2</v>
      </c>
      <c r="D47" s="57" t="s">
        <v>98</v>
      </c>
      <c r="E47" s="46">
        <f>VLOOKUP($B47,Form_Oitavas!$C$2:$AQ$60,5,FALSE)</f>
        <v>1</v>
      </c>
      <c r="F47" s="47" t="str">
        <f t="shared" si="10"/>
        <v>casa</v>
      </c>
      <c r="G47" s="48">
        <f>IF(C47=OITAVAS!C$48,IF(OITAVAS!E$48=E47,Pesos!$N$6,IF(F47=OITAVAS!F$48,Pesos!$N$3,0)),IF(F47=OITAVAS!F$48,Pesos!$N$3,0))*IF(COUNTIF(F$27:F$47,F47)=1,2,1)</f>
        <v>0</v>
      </c>
      <c r="H47" s="46">
        <f>VLOOKUP($B47,Form_Oitavas!$C$2:$AQ$60,9,FALSE)</f>
        <v>2</v>
      </c>
      <c r="I47" s="57" t="s">
        <v>98</v>
      </c>
      <c r="J47" s="46">
        <f>VLOOKUP($B47,Form_Oitavas!$C$2:$AQ$60,10,FALSE)</f>
        <v>1</v>
      </c>
      <c r="K47" s="47" t="str">
        <f t="shared" si="11"/>
        <v>casa</v>
      </c>
      <c r="L47" s="48">
        <f>IF(H47=OITAVAS!H$48,IF(OITAVAS!J$48=J47,Pesos!$N$6,IF(K47=OITAVAS!K$48,Pesos!$N$3,0)),IF(K47=OITAVAS!K$48,Pesos!$N$3,0))*IF(COUNTIF(K$27:K$47,K47)=1,2,1)</f>
        <v>1</v>
      </c>
      <c r="M47" s="46">
        <f>VLOOKUP($B47,Form_Oitavas!$C$2:$AQ$60,14,FALSE)</f>
        <v>1</v>
      </c>
      <c r="N47" s="46" t="s">
        <v>98</v>
      </c>
      <c r="O47" s="46">
        <f>VLOOKUP($B47,Form_Oitavas!$C$2:$AQ$60,15,FALSE)</f>
        <v>1</v>
      </c>
      <c r="P47" s="47" t="str">
        <f t="shared" si="12"/>
        <v>empate</v>
      </c>
      <c r="Q47" s="48">
        <f>IF(M47=OITAVAS!M$48,IF(OITAVAS!O$48=O47,Pesos!$N$6,IF(P47=OITAVAS!P$48,Pesos!$N$3,0)),IF(P47=OITAVAS!P$48,Pesos!$N$3,0))*IF(COUNTIF(P$27:P$47,P47)=1,2,1)</f>
        <v>0</v>
      </c>
      <c r="R47" s="46">
        <f>VLOOKUP($B47,Form_Oitavas!$C$2:$AQ$60,19,FALSE)</f>
        <v>2</v>
      </c>
      <c r="S47" s="57" t="s">
        <v>98</v>
      </c>
      <c r="T47" s="46">
        <f>VLOOKUP($B47,Form_Oitavas!$C$2:$AQ$60,20,FALSE)</f>
        <v>0</v>
      </c>
      <c r="U47" s="47" t="str">
        <f t="shared" si="13"/>
        <v>casa</v>
      </c>
      <c r="V47" s="48">
        <f>IF(R47=OITAVAS!R$48,IF(OITAVAS!T$48=T47,Pesos!$N$6,IF(U47=OITAVAS!U$48,Pesos!$N$3,0)),IF(U47=OITAVAS!U$48,Pesos!$N$3,0))*IF(COUNTIF(U$27:U$47,U47)=1,2,1)</f>
        <v>1</v>
      </c>
      <c r="W47" s="46">
        <f>VLOOKUP($B47,Form_Oitavas!$C$2:$AQ$60,24,FALSE)</f>
        <v>2</v>
      </c>
      <c r="X47" s="57" t="s">
        <v>98</v>
      </c>
      <c r="Y47" s="46">
        <f>VLOOKUP($B47,Form_Oitavas!$C$2:$AQ$60,25,FALSE)</f>
        <v>0</v>
      </c>
      <c r="Z47" s="47" t="str">
        <f t="shared" si="14"/>
        <v>casa</v>
      </c>
      <c r="AA47" s="48">
        <f>IF(W47=OITAVAS!W$48,IF(OITAVAS!Y$48=Y47,Pesos!$N$6,IF(Z47=OITAVAS!Z$48,Pesos!$N$3,0)),IF(Z47=OITAVAS!Z$48,Pesos!$N$3,0))*IF(COUNTIF(Z$27:Z$47,Z47)=1,2,1)</f>
        <v>1</v>
      </c>
      <c r="AB47" s="46">
        <f>VLOOKUP($B47,Form_Oitavas!$C$2:$AQ$60,29,FALSE)</f>
        <v>1</v>
      </c>
      <c r="AC47" s="57" t="s">
        <v>98</v>
      </c>
      <c r="AD47" s="46">
        <f>VLOOKUP($B47,Form_Oitavas!$C$2:$AQ$60,30,FALSE)</f>
        <v>1</v>
      </c>
      <c r="AE47" s="47" t="str">
        <f t="shared" si="15"/>
        <v>empate</v>
      </c>
      <c r="AF47" s="48">
        <f>IF(AB47=OITAVAS!AB$48,IF(OITAVAS!AD$48=AD47,Pesos!$N$6,IF(AE47=OITAVAS!AE$48,Pesos!$N$3,0)),IF(AE47=OITAVAS!AE$48,Pesos!$N$3,0))*IF(COUNTIF(AE$27:AE$47,AE47)=1,2,1)</f>
        <v>0</v>
      </c>
      <c r="AG47" s="46">
        <f>VLOOKUP($B47,Form_Oitavas!$C$2:$AQ$60,34,FALSE)</f>
        <v>2</v>
      </c>
      <c r="AH47" s="57" t="s">
        <v>98</v>
      </c>
      <c r="AI47" s="46">
        <f>VLOOKUP($B47,Form_Oitavas!$C$2:$AQ$60,35,FALSE)</f>
        <v>1</v>
      </c>
      <c r="AJ47" s="47" t="str">
        <f t="shared" si="16"/>
        <v>casa</v>
      </c>
      <c r="AK47" s="48">
        <f>IF(AG47=OITAVAS!AG$48,IF(OITAVAS!AI$48=AI47,Pesos!$N$6,IF(AJ47=OITAVAS!AJ$48,Pesos!$N$3,0)),IF(AJ47=OITAVAS!AJ$48,Pesos!$N$3,0))*IF(COUNTIF(AJ$27:AJ$47,AJ47)=1,2,1)</f>
        <v>1</v>
      </c>
      <c r="AL47" s="46">
        <f>VLOOKUP($B47,Form_Oitavas!$C$2:$AQ$60,39,FALSE)</f>
        <v>2</v>
      </c>
      <c r="AM47" s="57" t="s">
        <v>98</v>
      </c>
      <c r="AN47" s="46">
        <f>VLOOKUP($B47,Form_Oitavas!$C$2:$AQ$60,40,FALSE)</f>
        <v>1</v>
      </c>
      <c r="AO47" s="47" t="str">
        <f t="shared" si="17"/>
        <v>casa</v>
      </c>
      <c r="AP47" s="48">
        <f>IF(AL47=OITAVAS!AL$48,IF(OITAVAS!AN$48=AN47,Pesos!$N$6,IF(AO47=OITAVAS!AO$48,Pesos!$N$3,0)),IF(AO47=OITAVAS!AO$48,Pesos!$N$3,0))*IF(COUNTIF(AO$27:AO$47,AO47)=1,2,1)</f>
        <v>1</v>
      </c>
      <c r="AQ47" s="41"/>
      <c r="AR47" s="41">
        <f t="shared" si="18"/>
        <v>5</v>
      </c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</row>
    <row r="48" ht="14.25" customHeight="1">
      <c r="A48" s="41"/>
      <c r="B48" s="58" t="s">
        <v>1</v>
      </c>
      <c r="C48" s="54">
        <v>0.0</v>
      </c>
      <c r="D48" s="54" t="s">
        <v>98</v>
      </c>
      <c r="E48" s="54">
        <v>3.0</v>
      </c>
      <c r="F48" s="55" t="str">
        <f>if(E48="","",IF(C48&gt;E48,"casa",IF(C48=E48,"empate","visita")))</f>
        <v>visita</v>
      </c>
      <c r="G48" s="59"/>
      <c r="H48" s="54">
        <v>4.0</v>
      </c>
      <c r="I48" s="54" t="s">
        <v>98</v>
      </c>
      <c r="J48" s="54">
        <v>0.0</v>
      </c>
      <c r="K48" s="55" t="str">
        <f>if(J48="","",IF(H48&gt;J48,"casa",IF(H48=J48,"empate","visita")))</f>
        <v>casa</v>
      </c>
      <c r="L48" s="59"/>
      <c r="M48" s="54">
        <v>1.0</v>
      </c>
      <c r="N48" s="54" t="s">
        <v>98</v>
      </c>
      <c r="O48" s="54">
        <v>2.0</v>
      </c>
      <c r="P48" s="55" t="str">
        <f>if(O48="","",IF(M48&gt;O48,"casa",IF(M48=O48,"empate","visita")))</f>
        <v>visita</v>
      </c>
      <c r="Q48" s="59"/>
      <c r="R48" s="54">
        <v>4.0</v>
      </c>
      <c r="S48" s="54" t="s">
        <v>98</v>
      </c>
      <c r="T48" s="54">
        <v>1.0</v>
      </c>
      <c r="U48" s="55" t="str">
        <f>if(T48="","",IF(R48&gt;T48,"casa",IF(R48=T48,"empate","visita")))</f>
        <v>casa</v>
      </c>
      <c r="V48" s="59"/>
      <c r="W48" s="54">
        <v>7.0</v>
      </c>
      <c r="X48" s="54" t="s">
        <v>98</v>
      </c>
      <c r="Y48" s="54">
        <v>2.0</v>
      </c>
      <c r="Z48" s="55" t="str">
        <f>if(Y48="","",IF(W48&gt;Y48,"casa",IF(W48=Y48,"empate","visita")))</f>
        <v>casa</v>
      </c>
      <c r="AA48" s="59"/>
      <c r="AB48" s="54">
        <v>3.0</v>
      </c>
      <c r="AC48" s="54" t="s">
        <v>98</v>
      </c>
      <c r="AD48" s="54">
        <v>2.0</v>
      </c>
      <c r="AE48" s="55" t="str">
        <f>if(AD48="","",IF(AB48&gt;AD48,"casa",IF(AB48=AD48,"empate","visita")))</f>
        <v>casa</v>
      </c>
      <c r="AF48" s="59"/>
      <c r="AG48" s="54">
        <v>3.0</v>
      </c>
      <c r="AH48" s="54" t="s">
        <v>98</v>
      </c>
      <c r="AI48" s="54">
        <v>0.0</v>
      </c>
      <c r="AJ48" s="55" t="str">
        <f>if(AI48="","",IF(AG48&gt;AI48,"casa",IF(AG48=AI48,"empate","visita")))</f>
        <v>casa</v>
      </c>
      <c r="AK48" s="59"/>
      <c r="AL48" s="54">
        <v>2.0</v>
      </c>
      <c r="AM48" s="54" t="s">
        <v>98</v>
      </c>
      <c r="AN48" s="54">
        <v>0.0</v>
      </c>
      <c r="AO48" s="55" t="str">
        <f>if(AN48="","",IF(AL48&gt;AN48,"casa",IF(AL48=AN48,"empate","visita")))</f>
        <v>casa</v>
      </c>
      <c r="AP48" s="59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</row>
    <row r="49" ht="7.5" customHeight="1">
      <c r="A49" s="41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</row>
    <row r="50" ht="14.25" customHeight="1">
      <c r="A50" s="41"/>
      <c r="B50" s="40"/>
      <c r="C50" s="60" t="s">
        <v>107</v>
      </c>
      <c r="D50" s="61"/>
      <c r="E50" s="62"/>
      <c r="F50" s="9"/>
      <c r="G50" s="9"/>
      <c r="H50" s="60" t="s">
        <v>107</v>
      </c>
      <c r="I50" s="61"/>
      <c r="J50" s="62"/>
      <c r="K50" s="9"/>
      <c r="L50" s="9"/>
      <c r="M50" s="60" t="s">
        <v>107</v>
      </c>
      <c r="N50" s="61"/>
      <c r="O50" s="62"/>
      <c r="P50" s="9"/>
      <c r="Q50" s="9"/>
      <c r="R50" s="60" t="s">
        <v>107</v>
      </c>
      <c r="S50" s="61"/>
      <c r="T50" s="62"/>
      <c r="U50" s="9"/>
      <c r="V50" s="9"/>
      <c r="W50" s="60" t="s">
        <v>107</v>
      </c>
      <c r="X50" s="61"/>
      <c r="Y50" s="62"/>
      <c r="Z50" s="9"/>
      <c r="AA50" s="9"/>
      <c r="AB50" s="60" t="s">
        <v>107</v>
      </c>
      <c r="AC50" s="61"/>
      <c r="AD50" s="62"/>
      <c r="AE50" s="9"/>
      <c r="AF50" s="9"/>
      <c r="AG50" s="60" t="s">
        <v>107</v>
      </c>
      <c r="AH50" s="61"/>
      <c r="AI50" s="62"/>
      <c r="AJ50" s="9"/>
      <c r="AK50" s="9"/>
      <c r="AL50" s="60" t="s">
        <v>107</v>
      </c>
      <c r="AM50" s="61"/>
      <c r="AN50" s="62"/>
      <c r="AO50" s="9"/>
      <c r="AP50" s="9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</row>
    <row r="51" ht="14.25" customHeight="1">
      <c r="A51" s="41"/>
      <c r="B51" s="63" t="s">
        <v>9</v>
      </c>
      <c r="C51" s="64" t="str">
        <f>VLOOKUP($B51,Form_Oitavas!$C$2:$AQ$60,6,FALSE)</f>
        <v>Paris Saint-Germain</v>
      </c>
      <c r="D51" s="61"/>
      <c r="E51" s="62"/>
      <c r="F51" s="9"/>
      <c r="G51" s="48">
        <f>IF(C51=C$72,Pesos!$N$4,0)*IF(COUNTIF(C$51:E$71,C51)=1,2,1)</f>
        <v>3</v>
      </c>
      <c r="H51" s="64" t="str">
        <f>VLOOKUP($B51,Form_Oitavas!$C$2:$AQ$60,11,FALSE)</f>
        <v>Liverpool</v>
      </c>
      <c r="I51" s="61"/>
      <c r="J51" s="62"/>
      <c r="K51" s="9"/>
      <c r="L51" s="48">
        <f>IF(H51=H$72,Pesos!$N$4,0)*IF(COUNTIF(H$51:J$71,H51)=1,2,1)</f>
        <v>3</v>
      </c>
      <c r="M51" s="64" t="str">
        <f>VLOOKUP($B51,Form_Oitavas!$C$2:$AQ$60,16,FALSE)</f>
        <v>Real Madrid</v>
      </c>
      <c r="N51" s="61"/>
      <c r="O51" s="62"/>
      <c r="P51" s="9"/>
      <c r="Q51" s="48">
        <f>IF(M51=M$72,Pesos!$N$4,0)*IF(COUNTIF(M$51:O$71,M51)=1,2,1)</f>
        <v>3</v>
      </c>
      <c r="R51" s="64" t="str">
        <f>VLOOKUP($B51,Form_Oitavas!$C$2:$AQ$60,21,FALSE)</f>
        <v>Bayern de Munique</v>
      </c>
      <c r="S51" s="61"/>
      <c r="T51" s="62"/>
      <c r="U51" s="9"/>
      <c r="V51" s="48">
        <f>IF(R51=R$72,Pesos!$N$4,0)*IF(COUNTIF(R$51:T$71,R51)=1,2,1)</f>
        <v>3</v>
      </c>
      <c r="W51" s="64" t="str">
        <f>VLOOKUP($B51,Form_Oitavas!$C$2:$AQ$60,26,FALSE)</f>
        <v>Barcelona</v>
      </c>
      <c r="X51" s="61"/>
      <c r="Y51" s="62"/>
      <c r="Z51" s="9"/>
      <c r="AA51" s="48">
        <f>IF(W51=W$72,Pesos!$N$4,0)*IF(COUNTIF(W$51:Y$71,W51)=1,2,1)</f>
        <v>3</v>
      </c>
      <c r="AB51" s="64" t="str">
        <f>VLOOKUP($B51,Form_Oitavas!$C$2:$AQ$60,31,FALSE)</f>
        <v>Tottenham</v>
      </c>
      <c r="AC51" s="61"/>
      <c r="AD51" s="62"/>
      <c r="AE51" s="9"/>
      <c r="AF51" s="48">
        <f>IF(AB51=AB$72,Pesos!$N$4,0)*IF(COUNTIF(AB$51:AD$71,AB51)=1,2,1)</f>
        <v>0</v>
      </c>
      <c r="AG51" s="64" t="str">
        <f>VLOOKUP($B51,Form_Oitavas!$C$2:$AQ$60,36,FALSE)</f>
        <v>Sporting</v>
      </c>
      <c r="AH51" s="61"/>
      <c r="AI51" s="62"/>
      <c r="AJ51" s="9"/>
      <c r="AK51" s="48">
        <f>IF(AG51=AG$72,Pesos!$N$4,0)*IF(COUNTIF(AG$51:AI$71,AG51)=1,2,1)</f>
        <v>3</v>
      </c>
      <c r="AL51" s="64" t="str">
        <f>VLOOKUP($B51,Form_Oitavas!$C$2:$AQ$60,41,FALSE)</f>
        <v>Arsenal</v>
      </c>
      <c r="AM51" s="61"/>
      <c r="AN51" s="62"/>
      <c r="AO51" s="9"/>
      <c r="AP51" s="48">
        <f>IF(AL51=AL$72,Pesos!$N$4,0)*IF(COUNTIF(AL$51:AN$71,AL51)=1,2,1)</f>
        <v>3</v>
      </c>
      <c r="AQ51" s="41"/>
      <c r="AR51" s="41">
        <f t="shared" ref="AR51:AR71" si="19">IF(L51=0,0,1)+IF(Q51=0,0,1)+IF(V51=0,0,1)+IF(AA51=0,0,1)+IF(AF51=0,0,1)+IF(AK51=0,0,1)+IF(AP51=0,0,1)+IF(G51=0,0,1)</f>
        <v>7</v>
      </c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</row>
    <row r="52" ht="14.25" customHeight="1">
      <c r="A52" s="41"/>
      <c r="B52" s="51" t="s">
        <v>10</v>
      </c>
      <c r="C52" s="64" t="str">
        <f>VLOOKUP($B52,Form_Oitavas!$C$2:$AQ$60,6,FALSE)</f>
        <v>Paris Saint-Germain</v>
      </c>
      <c r="D52" s="61"/>
      <c r="E52" s="62"/>
      <c r="F52" s="9"/>
      <c r="G52" s="48">
        <f>IF(C52=C$72,Pesos!$N$4,0)*IF(COUNTIF(C$51:E$71,C52)=1,2,1)</f>
        <v>3</v>
      </c>
      <c r="H52" s="64" t="str">
        <f>VLOOKUP($B52,Form_Oitavas!$C$2:$AQ$60,11,FALSE)</f>
        <v>Liverpool</v>
      </c>
      <c r="I52" s="61"/>
      <c r="J52" s="62"/>
      <c r="K52" s="9"/>
      <c r="L52" s="48">
        <f>IF(H52=H$72,Pesos!$N$4,0)*IF(COUNTIF(H$51:J$71,H52)=1,2,1)</f>
        <v>3</v>
      </c>
      <c r="M52" s="64" t="str">
        <f>VLOOKUP($B52,Form_Oitavas!$C$2:$AQ$60,16,FALSE)</f>
        <v>Manchester City</v>
      </c>
      <c r="N52" s="61"/>
      <c r="O52" s="62"/>
      <c r="P52" s="9"/>
      <c r="Q52" s="48">
        <f>IF(M52=M$72,Pesos!$N$4,0)*IF(COUNTIF(M$51:O$71,M52)=1,2,1)</f>
        <v>0</v>
      </c>
      <c r="R52" s="64" t="str">
        <f>VLOOKUP($B52,Form_Oitavas!$C$2:$AQ$60,21,FALSE)</f>
        <v>Bayern de Munique</v>
      </c>
      <c r="S52" s="61"/>
      <c r="T52" s="62"/>
      <c r="U52" s="9"/>
      <c r="V52" s="48">
        <f>IF(R52=R$72,Pesos!$N$4,0)*IF(COUNTIF(R$51:T$71,R52)=1,2,1)</f>
        <v>3</v>
      </c>
      <c r="W52" s="64" t="str">
        <f>VLOOKUP($B52,Form_Oitavas!$C$2:$AQ$60,26,FALSE)</f>
        <v>Barcelona</v>
      </c>
      <c r="X52" s="61"/>
      <c r="Y52" s="62"/>
      <c r="Z52" s="9"/>
      <c r="AA52" s="48">
        <f>IF(W52=W$72,Pesos!$N$4,0)*IF(COUNTIF(W$51:Y$71,W52)=1,2,1)</f>
        <v>3</v>
      </c>
      <c r="AB52" s="64" t="str">
        <f>VLOOKUP($B52,Form_Oitavas!$C$2:$AQ$60,31,FALSE)</f>
        <v>Atlético de Madrid</v>
      </c>
      <c r="AC52" s="61"/>
      <c r="AD52" s="62"/>
      <c r="AE52" s="9"/>
      <c r="AF52" s="48">
        <f>IF(AB52=AB$72,Pesos!$N$4,0)*IF(COUNTIF(AB$51:AD$71,AB52)=1,2,1)</f>
        <v>3</v>
      </c>
      <c r="AG52" s="64" t="str">
        <f>VLOOKUP($B52,Form_Oitavas!$C$2:$AQ$60,36,FALSE)</f>
        <v>Bodö/Glimt</v>
      </c>
      <c r="AH52" s="61"/>
      <c r="AI52" s="62"/>
      <c r="AJ52" s="9"/>
      <c r="AK52" s="48">
        <f>IF(AG52=AG$72,Pesos!$N$4,0)*IF(COUNTIF(AG$51:AI$71,AG52)=1,2,1)</f>
        <v>0</v>
      </c>
      <c r="AL52" s="64" t="str">
        <f>VLOOKUP($B52,Form_Oitavas!$C$2:$AQ$60,41,FALSE)</f>
        <v>Arsenal</v>
      </c>
      <c r="AM52" s="61"/>
      <c r="AN52" s="62"/>
      <c r="AO52" s="9"/>
      <c r="AP52" s="48">
        <f>IF(AL52=AL$72,Pesos!$N$4,0)*IF(COUNTIF(AL$51:AN$71,AL52)=1,2,1)</f>
        <v>3</v>
      </c>
      <c r="AQ52" s="41"/>
      <c r="AR52" s="41">
        <f t="shared" si="19"/>
        <v>6</v>
      </c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</row>
    <row r="53" ht="14.25" customHeight="1">
      <c r="A53" s="41"/>
      <c r="B53" s="51" t="s">
        <v>17</v>
      </c>
      <c r="C53" s="64" t="str">
        <f>VLOOKUP($B53,Form_Oitavas!$C$2:$AQ$60,6,FALSE)</f>
        <v>Paris Saint-Germain</v>
      </c>
      <c r="D53" s="61"/>
      <c r="E53" s="62"/>
      <c r="F53" s="9"/>
      <c r="G53" s="48">
        <f>IF(C53=C$72,Pesos!$N$4,0)*IF(COUNTIF(C$51:E$71,C53)=1,2,1)</f>
        <v>3</v>
      </c>
      <c r="H53" s="64" t="str">
        <f>VLOOKUP($B53,Form_Oitavas!$C$2:$AQ$60,11,FALSE)</f>
        <v>Liverpool</v>
      </c>
      <c r="I53" s="61"/>
      <c r="J53" s="62"/>
      <c r="K53" s="9"/>
      <c r="L53" s="48">
        <f>IF(H53=H$72,Pesos!$N$4,0)*IF(COUNTIF(H$51:J$71,H53)=1,2,1)</f>
        <v>3</v>
      </c>
      <c r="M53" s="64" t="str">
        <f>VLOOKUP($B53,Form_Oitavas!$C$2:$AQ$60,16,FALSE)</f>
        <v>Real Madrid</v>
      </c>
      <c r="N53" s="61"/>
      <c r="O53" s="62"/>
      <c r="P53" s="9"/>
      <c r="Q53" s="48">
        <f>IF(M53=M$72,Pesos!$N$4,0)*IF(COUNTIF(M$51:O$71,M53)=1,2,1)</f>
        <v>3</v>
      </c>
      <c r="R53" s="64" t="str">
        <f>VLOOKUP($B53,Form_Oitavas!$C$2:$AQ$60,21,FALSE)</f>
        <v>Bayern de Munique</v>
      </c>
      <c r="S53" s="61"/>
      <c r="T53" s="62"/>
      <c r="U53" s="9"/>
      <c r="V53" s="48">
        <f>IF(R53=R$72,Pesos!$N$4,0)*IF(COUNTIF(R$51:T$71,R53)=1,2,1)</f>
        <v>3</v>
      </c>
      <c r="W53" s="64" t="str">
        <f>VLOOKUP($B53,Form_Oitavas!$C$2:$AQ$60,26,FALSE)</f>
        <v>Barcelona</v>
      </c>
      <c r="X53" s="61"/>
      <c r="Y53" s="62"/>
      <c r="Z53" s="9"/>
      <c r="AA53" s="48">
        <f>IF(W53=W$72,Pesos!$N$4,0)*IF(COUNTIF(W$51:Y$71,W53)=1,2,1)</f>
        <v>3</v>
      </c>
      <c r="AB53" s="64" t="str">
        <f>VLOOKUP($B53,Form_Oitavas!$C$2:$AQ$60,31,FALSE)</f>
        <v>Atlético de Madrid</v>
      </c>
      <c r="AC53" s="61"/>
      <c r="AD53" s="62"/>
      <c r="AE53" s="9"/>
      <c r="AF53" s="48">
        <f>IF(AB53=AB$72,Pesos!$N$4,0)*IF(COUNTIF(AB$51:AD$71,AB53)=1,2,1)</f>
        <v>3</v>
      </c>
      <c r="AG53" s="64" t="str">
        <f>VLOOKUP($B53,Form_Oitavas!$C$2:$AQ$60,36,FALSE)</f>
        <v>Sporting</v>
      </c>
      <c r="AH53" s="61"/>
      <c r="AI53" s="62"/>
      <c r="AJ53" s="9"/>
      <c r="AK53" s="48">
        <f>IF(AG53=AG$72,Pesos!$N$4,0)*IF(COUNTIF(AG$51:AI$71,AG53)=1,2,1)</f>
        <v>3</v>
      </c>
      <c r="AL53" s="64" t="str">
        <f>VLOOKUP($B53,Form_Oitavas!$C$2:$AQ$60,41,FALSE)</f>
        <v>Arsenal</v>
      </c>
      <c r="AM53" s="61"/>
      <c r="AN53" s="62"/>
      <c r="AO53" s="47"/>
      <c r="AP53" s="48">
        <f>IF(AL53=AL$72,Pesos!$N$4,0)*IF(COUNTIF(AL$51:AN$71,AL53)=1,2,1)</f>
        <v>3</v>
      </c>
      <c r="AQ53" s="41"/>
      <c r="AR53" s="41">
        <f t="shared" si="19"/>
        <v>8</v>
      </c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</row>
    <row r="54" ht="14.25" customHeight="1">
      <c r="A54" s="41"/>
      <c r="B54" s="51" t="s">
        <v>3</v>
      </c>
      <c r="C54" s="64" t="str">
        <f>VLOOKUP($B54,Form_Oitavas!$C$2:$AQ$60,6,FALSE)</f>
        <v>Chelsea</v>
      </c>
      <c r="D54" s="61"/>
      <c r="E54" s="62"/>
      <c r="F54" s="9"/>
      <c r="G54" s="48">
        <f>IF(C54=C$72,Pesos!$N$4,0)*IF(COUNTIF(C$51:E$71,C54)=1,2,1)</f>
        <v>0</v>
      </c>
      <c r="H54" s="64" t="str">
        <f>VLOOKUP($B54,Form_Oitavas!$C$2:$AQ$60,11,FALSE)</f>
        <v>Liverpool</v>
      </c>
      <c r="I54" s="61"/>
      <c r="J54" s="62"/>
      <c r="K54" s="9"/>
      <c r="L54" s="48">
        <f>IF(H54=H$72,Pesos!$N$4,0)*IF(COUNTIF(H$51:J$71,H54)=1,2,1)</f>
        <v>3</v>
      </c>
      <c r="M54" s="64" t="str">
        <f>VLOOKUP($B54,Form_Oitavas!$C$2:$AQ$60,16,FALSE)</f>
        <v>Real Madrid</v>
      </c>
      <c r="N54" s="61"/>
      <c r="O54" s="62"/>
      <c r="P54" s="9"/>
      <c r="Q54" s="48">
        <f>IF(M54=M$72,Pesos!$N$4,0)*IF(COUNTIF(M$51:O$71,M54)=1,2,1)</f>
        <v>3</v>
      </c>
      <c r="R54" s="64" t="str">
        <f>VLOOKUP($B54,Form_Oitavas!$C$2:$AQ$60,21,FALSE)</f>
        <v>Bayern de Munique</v>
      </c>
      <c r="S54" s="61"/>
      <c r="T54" s="62"/>
      <c r="U54" s="9"/>
      <c r="V54" s="48">
        <f>IF(R54=R$72,Pesos!$N$4,0)*IF(COUNTIF(R$51:T$71,R54)=1,2,1)</f>
        <v>3</v>
      </c>
      <c r="W54" s="64" t="str">
        <f>VLOOKUP($B54,Form_Oitavas!$C$2:$AQ$60,26,FALSE)</f>
        <v>Barcelona</v>
      </c>
      <c r="X54" s="61"/>
      <c r="Y54" s="62"/>
      <c r="Z54" s="9"/>
      <c r="AA54" s="48">
        <f>IF(W54=W$72,Pesos!$N$4,0)*IF(COUNTIF(W$51:Y$71,W54)=1,2,1)</f>
        <v>3</v>
      </c>
      <c r="AB54" s="64" t="str">
        <f>VLOOKUP($B54,Form_Oitavas!$C$2:$AQ$60,31,FALSE)</f>
        <v>Atlético de Madrid</v>
      </c>
      <c r="AC54" s="61"/>
      <c r="AD54" s="62"/>
      <c r="AE54" s="9"/>
      <c r="AF54" s="48">
        <f>IF(AB54=AB$72,Pesos!$N$4,0)*IF(COUNTIF(AB$51:AD$71,AB54)=1,2,1)</f>
        <v>3</v>
      </c>
      <c r="AG54" s="64" t="str">
        <f>VLOOKUP($B54,Form_Oitavas!$C$2:$AQ$60,36,FALSE)</f>
        <v>Bodö/Glimt</v>
      </c>
      <c r="AH54" s="61"/>
      <c r="AI54" s="62"/>
      <c r="AJ54" s="9"/>
      <c r="AK54" s="48">
        <f>IF(AG54=AG$72,Pesos!$N$4,0)*IF(COUNTIF(AG$51:AI$71,AG54)=1,2,1)</f>
        <v>0</v>
      </c>
      <c r="AL54" s="64" t="str">
        <f>VLOOKUP($B54,Form_Oitavas!$C$2:$AQ$60,41,FALSE)</f>
        <v>Arsenal</v>
      </c>
      <c r="AM54" s="61"/>
      <c r="AN54" s="62"/>
      <c r="AO54" s="9"/>
      <c r="AP54" s="48">
        <f>IF(AL54=AL$72,Pesos!$N$4,0)*IF(COUNTIF(AL$51:AN$71,AL54)=1,2,1)</f>
        <v>3</v>
      </c>
      <c r="AQ54" s="41"/>
      <c r="AR54" s="41">
        <f t="shared" si="19"/>
        <v>6</v>
      </c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</row>
    <row r="55" ht="14.25" customHeight="1">
      <c r="A55" s="41"/>
      <c r="B55" s="51" t="s">
        <v>13</v>
      </c>
      <c r="C55" s="64" t="str">
        <f>VLOOKUP($B55,Form_Oitavas!$C$2:$AQ$60,6,FALSE)</f>
        <v>Paris Saint-Germain</v>
      </c>
      <c r="D55" s="61"/>
      <c r="E55" s="62"/>
      <c r="F55" s="9"/>
      <c r="G55" s="48">
        <f>IF(C55=C$72,Pesos!$N$4,0)*IF(COUNTIF(C$51:E$71,C55)=1,2,1)</f>
        <v>3</v>
      </c>
      <c r="H55" s="64" t="str">
        <f>VLOOKUP($B55,Form_Oitavas!$C$2:$AQ$60,11,FALSE)</f>
        <v>Liverpool</v>
      </c>
      <c r="I55" s="61"/>
      <c r="J55" s="62"/>
      <c r="K55" s="9"/>
      <c r="L55" s="48">
        <f>IF(H55=H$72,Pesos!$N$4,0)*IF(COUNTIF(H$51:J$71,H55)=1,2,1)</f>
        <v>3</v>
      </c>
      <c r="M55" s="64" t="str">
        <f>VLOOKUP($B55,Form_Oitavas!$C$2:$AQ$60,16,FALSE)</f>
        <v>Manchester City</v>
      </c>
      <c r="N55" s="61"/>
      <c r="O55" s="62"/>
      <c r="P55" s="9"/>
      <c r="Q55" s="48">
        <f>IF(M55=M$72,Pesos!$N$4,0)*IF(COUNTIF(M$51:O$71,M55)=1,2,1)</f>
        <v>0</v>
      </c>
      <c r="R55" s="64" t="str">
        <f>VLOOKUP($B55,Form_Oitavas!$C$2:$AQ$60,21,FALSE)</f>
        <v>Bayern de Munique</v>
      </c>
      <c r="S55" s="61"/>
      <c r="T55" s="62"/>
      <c r="U55" s="9"/>
      <c r="V55" s="48">
        <f>IF(R55=R$72,Pesos!$N$4,0)*IF(COUNTIF(R$51:T$71,R55)=1,2,1)</f>
        <v>3</v>
      </c>
      <c r="W55" s="64" t="str">
        <f>VLOOKUP($B55,Form_Oitavas!$C$2:$AQ$60,26,FALSE)</f>
        <v>Barcelona</v>
      </c>
      <c r="X55" s="61"/>
      <c r="Y55" s="62"/>
      <c r="Z55" s="9"/>
      <c r="AA55" s="48">
        <f>IF(W55=W$72,Pesos!$N$4,0)*IF(COUNTIF(W$51:Y$71,W55)=1,2,1)</f>
        <v>3</v>
      </c>
      <c r="AB55" s="64" t="str">
        <f>VLOOKUP($B55,Form_Oitavas!$C$2:$AQ$60,31,FALSE)</f>
        <v>Atlético de Madrid</v>
      </c>
      <c r="AC55" s="61"/>
      <c r="AD55" s="62"/>
      <c r="AE55" s="9"/>
      <c r="AF55" s="48">
        <f>IF(AB55=AB$72,Pesos!$N$4,0)*IF(COUNTIF(AB$51:AD$71,AB55)=1,2,1)</f>
        <v>3</v>
      </c>
      <c r="AG55" s="64" t="str">
        <f>VLOOKUP($B55,Form_Oitavas!$C$2:$AQ$60,36,FALSE)</f>
        <v>Sporting</v>
      </c>
      <c r="AH55" s="61"/>
      <c r="AI55" s="62"/>
      <c r="AJ55" s="9"/>
      <c r="AK55" s="48">
        <f>IF(AG55=AG$72,Pesos!$N$4,0)*IF(COUNTIF(AG$51:AI$71,AG55)=1,2,1)</f>
        <v>3</v>
      </c>
      <c r="AL55" s="64" t="str">
        <f>VLOOKUP($B55,Form_Oitavas!$C$2:$AQ$60,41,FALSE)</f>
        <v>Arsenal</v>
      </c>
      <c r="AM55" s="61"/>
      <c r="AN55" s="62"/>
      <c r="AO55" s="9"/>
      <c r="AP55" s="48">
        <f>IF(AL55=AL$72,Pesos!$N$4,0)*IF(COUNTIF(AL$51:AN$71,AL55)=1,2,1)</f>
        <v>3</v>
      </c>
      <c r="AQ55" s="41"/>
      <c r="AR55" s="41">
        <f t="shared" si="19"/>
        <v>7</v>
      </c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</row>
    <row r="56" ht="14.25" customHeight="1">
      <c r="A56" s="41"/>
      <c r="B56" s="51" t="s">
        <v>14</v>
      </c>
      <c r="C56" s="64" t="str">
        <f>VLOOKUP($B56,Form_Oitavas!$C$2:$AQ$60,6,FALSE)</f>
        <v>Chelsea</v>
      </c>
      <c r="D56" s="61"/>
      <c r="E56" s="62"/>
      <c r="F56" s="9"/>
      <c r="G56" s="48">
        <f>IF(C56=C$72,Pesos!$N$4,0)*IF(COUNTIF(C$51:E$71,C56)=1,2,1)</f>
        <v>0</v>
      </c>
      <c r="H56" s="64" t="str">
        <f>VLOOKUP($B56,Form_Oitavas!$C$2:$AQ$60,11,FALSE)</f>
        <v>Liverpool</v>
      </c>
      <c r="I56" s="61"/>
      <c r="J56" s="62"/>
      <c r="K56" s="9"/>
      <c r="L56" s="48">
        <f>IF(H56=H$72,Pesos!$N$4,0)*IF(COUNTIF(H$51:J$71,H56)=1,2,1)</f>
        <v>3</v>
      </c>
      <c r="M56" s="64" t="str">
        <f>VLOOKUP($B56,Form_Oitavas!$C$2:$AQ$60,16,FALSE)</f>
        <v>Manchester City</v>
      </c>
      <c r="N56" s="61"/>
      <c r="O56" s="62"/>
      <c r="P56" s="9"/>
      <c r="Q56" s="48">
        <f>IF(M56=M$72,Pesos!$N$4,0)*IF(COUNTIF(M$51:O$71,M56)=1,2,1)</f>
        <v>0</v>
      </c>
      <c r="R56" s="64" t="str">
        <f>VLOOKUP($B56,Form_Oitavas!$C$2:$AQ$60,21,FALSE)</f>
        <v>Bayern de Munique</v>
      </c>
      <c r="S56" s="61"/>
      <c r="T56" s="62"/>
      <c r="U56" s="9"/>
      <c r="V56" s="48">
        <f>IF(R56=R$72,Pesos!$N$4,0)*IF(COUNTIF(R$51:T$71,R56)=1,2,1)</f>
        <v>3</v>
      </c>
      <c r="W56" s="64" t="str">
        <f>VLOOKUP($B56,Form_Oitavas!$C$2:$AQ$60,26,FALSE)</f>
        <v>Barcelona</v>
      </c>
      <c r="X56" s="61"/>
      <c r="Y56" s="62"/>
      <c r="Z56" s="9"/>
      <c r="AA56" s="48">
        <f>IF(W56=W$72,Pesos!$N$4,0)*IF(COUNTIF(W$51:Y$71,W56)=1,2,1)</f>
        <v>3</v>
      </c>
      <c r="AB56" s="64" t="str">
        <f>VLOOKUP($B56,Form_Oitavas!$C$2:$AQ$60,31,FALSE)</f>
        <v>Atlético de Madrid</v>
      </c>
      <c r="AC56" s="61"/>
      <c r="AD56" s="62"/>
      <c r="AE56" s="9"/>
      <c r="AF56" s="48">
        <f>IF(AB56=AB$72,Pesos!$N$4,0)*IF(COUNTIF(AB$51:AD$71,AB56)=1,2,1)</f>
        <v>3</v>
      </c>
      <c r="AG56" s="64" t="str">
        <f>VLOOKUP($B56,Form_Oitavas!$C$2:$AQ$60,36,FALSE)</f>
        <v>Bodö/Glimt</v>
      </c>
      <c r="AH56" s="61"/>
      <c r="AI56" s="62"/>
      <c r="AJ56" s="9"/>
      <c r="AK56" s="48">
        <f>IF(AG56=AG$72,Pesos!$N$4,0)*IF(COUNTIF(AG$51:AI$71,AG56)=1,2,1)</f>
        <v>0</v>
      </c>
      <c r="AL56" s="64" t="str">
        <f>VLOOKUP($B56,Form_Oitavas!$C$2:$AQ$60,41,FALSE)</f>
        <v>Arsenal</v>
      </c>
      <c r="AM56" s="61"/>
      <c r="AN56" s="62"/>
      <c r="AO56" s="9"/>
      <c r="AP56" s="48">
        <f>IF(AL56=AL$72,Pesos!$N$4,0)*IF(COUNTIF(AL$51:AN$71,AL56)=1,2,1)</f>
        <v>3</v>
      </c>
      <c r="AQ56" s="41"/>
      <c r="AR56" s="41">
        <f t="shared" si="19"/>
        <v>5</v>
      </c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</row>
    <row r="57" ht="14.25" customHeight="1">
      <c r="A57" s="41"/>
      <c r="B57" s="51" t="s">
        <v>6</v>
      </c>
      <c r="C57" s="64" t="str">
        <f>VLOOKUP($B57,Form_Oitavas!$C$2:$AQ$60,6,FALSE)</f>
        <v>Paris Saint-Germain</v>
      </c>
      <c r="D57" s="61"/>
      <c r="E57" s="62"/>
      <c r="F57" s="9"/>
      <c r="G57" s="48">
        <f>IF(C57=C$72,Pesos!$N$4,0)*IF(COUNTIF(C$51:E$71,C57)=1,2,1)</f>
        <v>3</v>
      </c>
      <c r="H57" s="64" t="str">
        <f>VLOOKUP($B57,Form_Oitavas!$C$2:$AQ$60,11,FALSE)</f>
        <v>Liverpool</v>
      </c>
      <c r="I57" s="61"/>
      <c r="J57" s="62"/>
      <c r="K57" s="9"/>
      <c r="L57" s="48">
        <f>IF(H57=H$72,Pesos!$N$4,0)*IF(COUNTIF(H$51:J$71,H57)=1,2,1)</f>
        <v>3</v>
      </c>
      <c r="M57" s="64" t="str">
        <f>VLOOKUP($B57,Form_Oitavas!$C$2:$AQ$60,16,FALSE)</f>
        <v>Manchester City</v>
      </c>
      <c r="N57" s="61"/>
      <c r="O57" s="62"/>
      <c r="P57" s="9"/>
      <c r="Q57" s="48">
        <f>IF(M57=M$72,Pesos!$N$4,0)*IF(COUNTIF(M$51:O$71,M57)=1,2,1)</f>
        <v>0</v>
      </c>
      <c r="R57" s="64" t="str">
        <f>VLOOKUP($B57,Form_Oitavas!$C$2:$AQ$60,21,FALSE)</f>
        <v>Bayern de Munique</v>
      </c>
      <c r="S57" s="61"/>
      <c r="T57" s="62"/>
      <c r="U57" s="9"/>
      <c r="V57" s="48">
        <f>IF(R57=R$72,Pesos!$N$4,0)*IF(COUNTIF(R$51:T$71,R57)=1,2,1)</f>
        <v>3</v>
      </c>
      <c r="W57" s="64" t="str">
        <f>VLOOKUP($B57,Form_Oitavas!$C$2:$AQ$60,26,FALSE)</f>
        <v>Barcelona</v>
      </c>
      <c r="X57" s="61"/>
      <c r="Y57" s="62"/>
      <c r="Z57" s="9"/>
      <c r="AA57" s="48">
        <f>IF(W57=W$72,Pesos!$N$4,0)*IF(COUNTIF(W$51:Y$71,W57)=1,2,1)</f>
        <v>3</v>
      </c>
      <c r="AB57" s="64" t="str">
        <f>VLOOKUP($B57,Form_Oitavas!$C$2:$AQ$60,31,FALSE)</f>
        <v>Atlético de Madrid</v>
      </c>
      <c r="AC57" s="61"/>
      <c r="AD57" s="62"/>
      <c r="AE57" s="9"/>
      <c r="AF57" s="48">
        <f>IF(AB57=AB$72,Pesos!$N$4,0)*IF(COUNTIF(AB$51:AD$71,AB57)=1,2,1)</f>
        <v>3</v>
      </c>
      <c r="AG57" s="64" t="str">
        <f>VLOOKUP($B57,Form_Oitavas!$C$2:$AQ$60,36,FALSE)</f>
        <v>Bodö/Glimt</v>
      </c>
      <c r="AH57" s="61"/>
      <c r="AI57" s="62"/>
      <c r="AJ57" s="9"/>
      <c r="AK57" s="48">
        <f>IF(AG57=AG$72,Pesos!$N$4,0)*IF(COUNTIF(AG$51:AI$71,AG57)=1,2,1)</f>
        <v>0</v>
      </c>
      <c r="AL57" s="64" t="str">
        <f>VLOOKUP($B57,Form_Oitavas!$C$2:$AQ$60,41,FALSE)</f>
        <v>Arsenal</v>
      </c>
      <c r="AM57" s="61"/>
      <c r="AN57" s="62"/>
      <c r="AO57" s="47"/>
      <c r="AP57" s="48">
        <f>IF(AL57=AL$72,Pesos!$N$4,0)*IF(COUNTIF(AL$51:AN$71,AL57)=1,2,1)</f>
        <v>3</v>
      </c>
      <c r="AQ57" s="41"/>
      <c r="AR57" s="41">
        <f t="shared" si="19"/>
        <v>6</v>
      </c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</row>
    <row r="58" ht="14.25" customHeight="1">
      <c r="A58" s="41"/>
      <c r="B58" s="51" t="s">
        <v>5</v>
      </c>
      <c r="C58" s="64" t="str">
        <f>VLOOKUP($B58,Form_Oitavas!$C$2:$AQ$60,6,FALSE)</f>
        <v>Paris Saint-Germain</v>
      </c>
      <c r="D58" s="61"/>
      <c r="E58" s="62"/>
      <c r="F58" s="9"/>
      <c r="G58" s="48">
        <f>IF(C58=C$72,Pesos!$N$4,0)*IF(COUNTIF(C$51:E$71,C58)=1,2,1)</f>
        <v>3</v>
      </c>
      <c r="H58" s="64" t="str">
        <f>VLOOKUP($B58,Form_Oitavas!$C$2:$AQ$60,11,FALSE)</f>
        <v>Liverpool</v>
      </c>
      <c r="I58" s="61"/>
      <c r="J58" s="62"/>
      <c r="K58" s="9"/>
      <c r="L58" s="48">
        <f>IF(H58=H$72,Pesos!$N$4,0)*IF(COUNTIF(H$51:J$71,H58)=1,2,1)</f>
        <v>3</v>
      </c>
      <c r="M58" s="64" t="str">
        <f>VLOOKUP($B58,Form_Oitavas!$C$2:$AQ$60,16,FALSE)</f>
        <v>Real Madrid</v>
      </c>
      <c r="N58" s="61"/>
      <c r="O58" s="62"/>
      <c r="P58" s="9"/>
      <c r="Q58" s="48">
        <f>IF(M58=M$72,Pesos!$N$4,0)*IF(COUNTIF(M$51:O$71,M58)=1,2,1)</f>
        <v>3</v>
      </c>
      <c r="R58" s="64" t="str">
        <f>VLOOKUP($B58,Form_Oitavas!$C$2:$AQ$60,21,FALSE)</f>
        <v>Bayern de Munique</v>
      </c>
      <c r="S58" s="61"/>
      <c r="T58" s="62"/>
      <c r="U58" s="9"/>
      <c r="V58" s="48">
        <f>IF(R58=R$72,Pesos!$N$4,0)*IF(COUNTIF(R$51:T$71,R58)=1,2,1)</f>
        <v>3</v>
      </c>
      <c r="W58" s="64" t="str">
        <f>VLOOKUP($B58,Form_Oitavas!$C$2:$AQ$60,26,FALSE)</f>
        <v>Barcelona</v>
      </c>
      <c r="X58" s="61"/>
      <c r="Y58" s="62"/>
      <c r="Z58" s="9"/>
      <c r="AA58" s="48">
        <f>IF(W58=W$72,Pesos!$N$4,0)*IF(COUNTIF(W$51:Y$71,W58)=1,2,1)</f>
        <v>3</v>
      </c>
      <c r="AB58" s="64" t="str">
        <f>VLOOKUP($B58,Form_Oitavas!$C$2:$AQ$60,31,FALSE)</f>
        <v>Atlético de Madrid</v>
      </c>
      <c r="AC58" s="61"/>
      <c r="AD58" s="62"/>
      <c r="AE58" s="9"/>
      <c r="AF58" s="48">
        <f>IF(AB58=AB$72,Pesos!$N$4,0)*IF(COUNTIF(AB$51:AD$71,AB58)=1,2,1)</f>
        <v>3</v>
      </c>
      <c r="AG58" s="64" t="str">
        <f>VLOOKUP($B58,Form_Oitavas!$C$2:$AQ$60,36,FALSE)</f>
        <v>Bodö/Glimt</v>
      </c>
      <c r="AH58" s="61"/>
      <c r="AI58" s="62"/>
      <c r="AJ58" s="9"/>
      <c r="AK58" s="48">
        <f>IF(AG58=AG$72,Pesos!$N$4,0)*IF(COUNTIF(AG$51:AI$71,AG58)=1,2,1)</f>
        <v>0</v>
      </c>
      <c r="AL58" s="64" t="str">
        <f>VLOOKUP($B58,Form_Oitavas!$C$2:$AQ$60,41,FALSE)</f>
        <v>Arsenal</v>
      </c>
      <c r="AM58" s="61"/>
      <c r="AN58" s="62"/>
      <c r="AO58" s="47"/>
      <c r="AP58" s="48">
        <f>IF(AL58=AL$72,Pesos!$N$4,0)*IF(COUNTIF(AL$51:AN$71,AL58)=1,2,1)</f>
        <v>3</v>
      </c>
      <c r="AQ58" s="41"/>
      <c r="AR58" s="41">
        <f t="shared" si="19"/>
        <v>7</v>
      </c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</row>
    <row r="59" ht="14.25" customHeight="1">
      <c r="A59" s="41"/>
      <c r="B59" s="51" t="s">
        <v>4</v>
      </c>
      <c r="C59" s="64" t="str">
        <f>VLOOKUP($B59,Form_Oitavas!$C$2:$AQ$60,6,FALSE)</f>
        <v>Paris Saint-Germain</v>
      </c>
      <c r="D59" s="61"/>
      <c r="E59" s="62"/>
      <c r="F59" s="9"/>
      <c r="G59" s="48">
        <f>IF(C59=C$72,Pesos!$N$4,0)*IF(COUNTIF(C$51:E$71,C59)=1,2,1)</f>
        <v>3</v>
      </c>
      <c r="H59" s="64" t="str">
        <f>VLOOKUP($B59,Form_Oitavas!$C$2:$AQ$60,11,FALSE)</f>
        <v>Liverpool</v>
      </c>
      <c r="I59" s="61"/>
      <c r="J59" s="62"/>
      <c r="K59" s="9"/>
      <c r="L59" s="48">
        <f>IF(H59=H$72,Pesos!$N$4,0)*IF(COUNTIF(H$51:J$71,H59)=1,2,1)</f>
        <v>3</v>
      </c>
      <c r="M59" s="64" t="str">
        <f>VLOOKUP($B59,Form_Oitavas!$C$2:$AQ$60,16,FALSE)</f>
        <v>Real Madrid</v>
      </c>
      <c r="N59" s="61"/>
      <c r="O59" s="62"/>
      <c r="P59" s="9"/>
      <c r="Q59" s="48">
        <f>IF(M59=M$72,Pesos!$N$4,0)*IF(COUNTIF(M$51:O$71,M59)=1,2,1)</f>
        <v>3</v>
      </c>
      <c r="R59" s="64" t="str">
        <f>VLOOKUP($B59,Form_Oitavas!$C$2:$AQ$60,21,FALSE)</f>
        <v>Bayern de Munique</v>
      </c>
      <c r="S59" s="61"/>
      <c r="T59" s="62"/>
      <c r="U59" s="9"/>
      <c r="V59" s="48">
        <f>IF(R59=R$72,Pesos!$N$4,0)*IF(COUNTIF(R$51:T$71,R59)=1,2,1)</f>
        <v>3</v>
      </c>
      <c r="W59" s="64" t="str">
        <f>VLOOKUP($B59,Form_Oitavas!$C$2:$AQ$60,26,FALSE)</f>
        <v>Barcelona</v>
      </c>
      <c r="X59" s="61"/>
      <c r="Y59" s="62"/>
      <c r="Z59" s="9"/>
      <c r="AA59" s="48">
        <f>IF(W59=W$72,Pesos!$N$4,0)*IF(COUNTIF(W$51:Y$71,W59)=1,2,1)</f>
        <v>3</v>
      </c>
      <c r="AB59" s="64" t="str">
        <f>VLOOKUP($B59,Form_Oitavas!$C$2:$AQ$60,31,FALSE)</f>
        <v>Atlético de Madrid</v>
      </c>
      <c r="AC59" s="61"/>
      <c r="AD59" s="62"/>
      <c r="AE59" s="9"/>
      <c r="AF59" s="48">
        <f>IF(AB59=AB$72,Pesos!$N$4,0)*IF(COUNTIF(AB$51:AD$71,AB59)=1,2,1)</f>
        <v>3</v>
      </c>
      <c r="AG59" s="64" t="str">
        <f>VLOOKUP($B59,Form_Oitavas!$C$2:$AQ$60,36,FALSE)</f>
        <v>Bodö/Glimt</v>
      </c>
      <c r="AH59" s="61"/>
      <c r="AI59" s="62"/>
      <c r="AJ59" s="9"/>
      <c r="AK59" s="48">
        <f>IF(AG59=AG$72,Pesos!$N$4,0)*IF(COUNTIF(AG$51:AI$71,AG59)=1,2,1)</f>
        <v>0</v>
      </c>
      <c r="AL59" s="64" t="str">
        <f>VLOOKUP($B59,Form_Oitavas!$C$2:$AQ$60,41,FALSE)</f>
        <v>Arsenal</v>
      </c>
      <c r="AM59" s="61"/>
      <c r="AN59" s="62"/>
      <c r="AO59" s="47"/>
      <c r="AP59" s="48">
        <f>IF(AL59=AL$72,Pesos!$N$4,0)*IF(COUNTIF(AL$51:AN$71,AL59)=1,2,1)</f>
        <v>3</v>
      </c>
      <c r="AQ59" s="41"/>
      <c r="AR59" s="41">
        <f t="shared" si="19"/>
        <v>7</v>
      </c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</row>
    <row r="60" ht="14.25" customHeight="1">
      <c r="A60" s="41"/>
      <c r="B60" s="51" t="s">
        <v>18</v>
      </c>
      <c r="C60" s="64" t="str">
        <f>VLOOKUP($B60,Form_Oitavas!$C$2:$AQ$60,6,FALSE)</f>
        <v>Paris Saint-Germain</v>
      </c>
      <c r="D60" s="61"/>
      <c r="E60" s="62"/>
      <c r="F60" s="9"/>
      <c r="G60" s="48">
        <f>IF(C60=C$72,Pesos!$N$4,0)*IF(COUNTIF(C$51:E$71,C60)=1,2,1)</f>
        <v>3</v>
      </c>
      <c r="H60" s="64" t="str">
        <f>VLOOKUP($B60,Form_Oitavas!$C$2:$AQ$60,11,FALSE)</f>
        <v>Liverpool</v>
      </c>
      <c r="I60" s="61"/>
      <c r="J60" s="62"/>
      <c r="K60" s="9"/>
      <c r="L60" s="48">
        <f>IF(H60=H$72,Pesos!$N$4,0)*IF(COUNTIF(H$51:J$71,H60)=1,2,1)</f>
        <v>3</v>
      </c>
      <c r="M60" s="64" t="str">
        <f>VLOOKUP($B60,Form_Oitavas!$C$2:$AQ$60,16,FALSE)</f>
        <v>Manchester City</v>
      </c>
      <c r="N60" s="61"/>
      <c r="O60" s="62"/>
      <c r="P60" s="9"/>
      <c r="Q60" s="48">
        <f>IF(M60=M$72,Pesos!$N$4,0)*IF(COUNTIF(M$51:O$71,M60)=1,2,1)</f>
        <v>0</v>
      </c>
      <c r="R60" s="64" t="str">
        <f>VLOOKUP($B60,Form_Oitavas!$C$2:$AQ$60,21,FALSE)</f>
        <v>Bayern de Munique</v>
      </c>
      <c r="S60" s="61"/>
      <c r="T60" s="62"/>
      <c r="U60" s="9"/>
      <c r="V60" s="48">
        <f>IF(R60=R$72,Pesos!$N$4,0)*IF(COUNTIF(R$51:T$71,R60)=1,2,1)</f>
        <v>3</v>
      </c>
      <c r="W60" s="64" t="str">
        <f>VLOOKUP($B60,Form_Oitavas!$C$2:$AQ$60,26,FALSE)</f>
        <v>Barcelona</v>
      </c>
      <c r="X60" s="61"/>
      <c r="Y60" s="62"/>
      <c r="Z60" s="9"/>
      <c r="AA60" s="48">
        <f>IF(W60=W$72,Pesos!$N$4,0)*IF(COUNTIF(W$51:Y$71,W60)=1,2,1)</f>
        <v>3</v>
      </c>
      <c r="AB60" s="64" t="str">
        <f>VLOOKUP($B60,Form_Oitavas!$C$2:$AQ$60,31,FALSE)</f>
        <v>Atlético de Madrid</v>
      </c>
      <c r="AC60" s="61"/>
      <c r="AD60" s="62"/>
      <c r="AE60" s="9"/>
      <c r="AF60" s="48">
        <f>IF(AB60=AB$72,Pesos!$N$4,0)*IF(COUNTIF(AB$51:AD$71,AB60)=1,2,1)</f>
        <v>3</v>
      </c>
      <c r="AG60" s="64" t="str">
        <f>VLOOKUP($B60,Form_Oitavas!$C$2:$AQ$60,36,FALSE)</f>
        <v>Bodö/Glimt</v>
      </c>
      <c r="AH60" s="61"/>
      <c r="AI60" s="62"/>
      <c r="AJ60" s="9"/>
      <c r="AK60" s="48">
        <f>IF(AG60=AG$72,Pesos!$N$4,0)*IF(COUNTIF(AG$51:AI$71,AG60)=1,2,1)</f>
        <v>0</v>
      </c>
      <c r="AL60" s="64" t="str">
        <f>VLOOKUP($B60,Form_Oitavas!$C$2:$AQ$60,41,FALSE)</f>
        <v>Arsenal</v>
      </c>
      <c r="AM60" s="61"/>
      <c r="AN60" s="62"/>
      <c r="AO60" s="9"/>
      <c r="AP60" s="48">
        <f>IF(AL60=AL$72,Pesos!$N$4,0)*IF(COUNTIF(AL$51:AN$71,AL60)=1,2,1)</f>
        <v>3</v>
      </c>
      <c r="AQ60" s="41"/>
      <c r="AR60" s="41">
        <f t="shared" si="19"/>
        <v>6</v>
      </c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</row>
    <row r="61" ht="14.25" customHeight="1">
      <c r="A61" s="41"/>
      <c r="B61" s="51" t="s">
        <v>2</v>
      </c>
      <c r="C61" s="64" t="str">
        <f>VLOOKUP($B61,Form_Oitavas!$C$2:$AQ$60,6,FALSE)</f>
        <v>Paris Saint-Germain</v>
      </c>
      <c r="D61" s="61"/>
      <c r="E61" s="62"/>
      <c r="F61" s="9"/>
      <c r="G61" s="48">
        <f>IF(C61=C$72,Pesos!$N$4,0)*IF(COUNTIF(C$51:E$71,C61)=1,2,1)</f>
        <v>3</v>
      </c>
      <c r="H61" s="64" t="str">
        <f>VLOOKUP($B61,Form_Oitavas!$C$2:$AQ$60,11,FALSE)</f>
        <v>Liverpool</v>
      </c>
      <c r="I61" s="61"/>
      <c r="J61" s="62"/>
      <c r="K61" s="9"/>
      <c r="L61" s="48">
        <f>IF(H61=H$72,Pesos!$N$4,0)*IF(COUNTIF(H$51:J$71,H61)=1,2,1)</f>
        <v>3</v>
      </c>
      <c r="M61" s="64" t="str">
        <f>VLOOKUP($B61,Form_Oitavas!$C$2:$AQ$60,16,FALSE)</f>
        <v>Real Madrid</v>
      </c>
      <c r="N61" s="61"/>
      <c r="O61" s="62"/>
      <c r="P61" s="9"/>
      <c r="Q61" s="48">
        <f>IF(M61=M$72,Pesos!$N$4,0)*IF(COUNTIF(M$51:O$71,M61)=1,2,1)</f>
        <v>3</v>
      </c>
      <c r="R61" s="64" t="str">
        <f>VLOOKUP($B61,Form_Oitavas!$C$2:$AQ$60,21,FALSE)</f>
        <v>Bayern de Munique</v>
      </c>
      <c r="S61" s="61"/>
      <c r="T61" s="62"/>
      <c r="U61" s="9"/>
      <c r="V61" s="48">
        <f>IF(R61=R$72,Pesos!$N$4,0)*IF(COUNTIF(R$51:T$71,R61)=1,2,1)</f>
        <v>3</v>
      </c>
      <c r="W61" s="64" t="str">
        <f>VLOOKUP($B61,Form_Oitavas!$C$2:$AQ$60,26,FALSE)</f>
        <v>Barcelona</v>
      </c>
      <c r="X61" s="61"/>
      <c r="Y61" s="62"/>
      <c r="Z61" s="9"/>
      <c r="AA61" s="48">
        <f>IF(W61=W$72,Pesos!$N$4,0)*IF(COUNTIF(W$51:Y$71,W61)=1,2,1)</f>
        <v>3</v>
      </c>
      <c r="AB61" s="64" t="str">
        <f>VLOOKUP($B61,Form_Oitavas!$C$2:$AQ$60,31,FALSE)</f>
        <v>Atlético de Madrid</v>
      </c>
      <c r="AC61" s="61"/>
      <c r="AD61" s="62"/>
      <c r="AE61" s="9"/>
      <c r="AF61" s="48">
        <f>IF(AB61=AB$72,Pesos!$N$4,0)*IF(COUNTIF(AB$51:AD$71,AB61)=1,2,1)</f>
        <v>3</v>
      </c>
      <c r="AG61" s="64" t="str">
        <f>VLOOKUP($B61,Form_Oitavas!$C$2:$AQ$60,36,FALSE)</f>
        <v>Sporting</v>
      </c>
      <c r="AH61" s="61"/>
      <c r="AI61" s="62"/>
      <c r="AJ61" s="9"/>
      <c r="AK61" s="48">
        <f>IF(AG61=AG$72,Pesos!$N$4,0)*IF(COUNTIF(AG$51:AI$71,AG61)=1,2,1)</f>
        <v>3</v>
      </c>
      <c r="AL61" s="64" t="str">
        <f>VLOOKUP($B61,Form_Oitavas!$C$2:$AQ$60,41,FALSE)</f>
        <v>Arsenal</v>
      </c>
      <c r="AM61" s="61"/>
      <c r="AN61" s="62"/>
      <c r="AO61" s="9"/>
      <c r="AP61" s="48">
        <f>IF(AL61=AL$72,Pesos!$N$4,0)*IF(COUNTIF(AL$51:AN$71,AL61)=1,2,1)</f>
        <v>3</v>
      </c>
      <c r="AQ61" s="41"/>
      <c r="AR61" s="41">
        <f t="shared" si="19"/>
        <v>8</v>
      </c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</row>
    <row r="62" ht="14.25" customHeight="1">
      <c r="A62" s="41"/>
      <c r="B62" s="51" t="s">
        <v>15</v>
      </c>
      <c r="C62" s="64" t="str">
        <f>VLOOKUP($B62,Form_Oitavas!$C$2:$AQ$60,6,FALSE)</f>
        <v>Chelsea</v>
      </c>
      <c r="D62" s="61"/>
      <c r="E62" s="62"/>
      <c r="F62" s="9"/>
      <c r="G62" s="48">
        <f>IF(C62=C$72,Pesos!$N$4,0)*IF(COUNTIF(C$51:E$71,C62)=1,2,1)</f>
        <v>0</v>
      </c>
      <c r="H62" s="64" t="str">
        <f>VLOOKUP($B62,Form_Oitavas!$C$2:$AQ$60,11,FALSE)</f>
        <v>Liverpool</v>
      </c>
      <c r="I62" s="61"/>
      <c r="J62" s="62"/>
      <c r="K62" s="9"/>
      <c r="L62" s="48">
        <f>IF(H62=H$72,Pesos!$N$4,0)*IF(COUNTIF(H$51:J$71,H62)=1,2,1)</f>
        <v>3</v>
      </c>
      <c r="M62" s="64" t="str">
        <f>VLOOKUP($B62,Form_Oitavas!$C$2:$AQ$60,16,FALSE)</f>
        <v>Real Madrid</v>
      </c>
      <c r="N62" s="61"/>
      <c r="O62" s="62"/>
      <c r="P62" s="9"/>
      <c r="Q62" s="48">
        <f>IF(M62=M$72,Pesos!$N$4,0)*IF(COUNTIF(M$51:O$71,M62)=1,2,1)</f>
        <v>3</v>
      </c>
      <c r="R62" s="64" t="str">
        <f>VLOOKUP($B62,Form_Oitavas!$C$2:$AQ$60,21,FALSE)</f>
        <v>Bayern de Munique</v>
      </c>
      <c r="S62" s="61"/>
      <c r="T62" s="62"/>
      <c r="U62" s="9"/>
      <c r="V62" s="48">
        <f>IF(R62=R$72,Pesos!$N$4,0)*IF(COUNTIF(R$51:T$71,R62)=1,2,1)</f>
        <v>3</v>
      </c>
      <c r="W62" s="64" t="str">
        <f>VLOOKUP($B62,Form_Oitavas!$C$2:$AQ$60,26,FALSE)</f>
        <v>Barcelona</v>
      </c>
      <c r="X62" s="61"/>
      <c r="Y62" s="62"/>
      <c r="Z62" s="9"/>
      <c r="AA62" s="48">
        <f>IF(W62=W$72,Pesos!$N$4,0)*IF(COUNTIF(W$51:Y$71,W62)=1,2,1)</f>
        <v>3</v>
      </c>
      <c r="AB62" s="64" t="str">
        <f>VLOOKUP($B62,Form_Oitavas!$C$2:$AQ$60,31,FALSE)</f>
        <v>Tottenham</v>
      </c>
      <c r="AC62" s="61"/>
      <c r="AD62" s="62"/>
      <c r="AE62" s="9"/>
      <c r="AF62" s="48">
        <f>IF(AB62=AB$72,Pesos!$N$4,0)*IF(COUNTIF(AB$51:AD$71,AB62)=1,2,1)</f>
        <v>0</v>
      </c>
      <c r="AG62" s="64" t="str">
        <f>VLOOKUP($B62,Form_Oitavas!$C$2:$AQ$60,36,FALSE)</f>
        <v>Bodö/Glimt</v>
      </c>
      <c r="AH62" s="61"/>
      <c r="AI62" s="62"/>
      <c r="AJ62" s="9"/>
      <c r="AK62" s="48">
        <f>IF(AG62=AG$72,Pesos!$N$4,0)*IF(COUNTIF(AG$51:AI$71,AG62)=1,2,1)</f>
        <v>0</v>
      </c>
      <c r="AL62" s="64" t="str">
        <f>VLOOKUP($B62,Form_Oitavas!$C$2:$AQ$60,41,FALSE)</f>
        <v>Arsenal</v>
      </c>
      <c r="AM62" s="61"/>
      <c r="AN62" s="62"/>
      <c r="AO62" s="47"/>
      <c r="AP62" s="48">
        <f>IF(AL62=AL$72,Pesos!$N$4,0)*IF(COUNTIF(AL$51:AN$71,AL62)=1,2,1)</f>
        <v>3</v>
      </c>
      <c r="AQ62" s="41"/>
      <c r="AR62" s="41">
        <f t="shared" si="19"/>
        <v>5</v>
      </c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</row>
    <row r="63" ht="14.25" customHeight="1">
      <c r="A63" s="41"/>
      <c r="B63" s="51" t="s">
        <v>12</v>
      </c>
      <c r="C63" s="64" t="str">
        <f>VLOOKUP($B63,Form_Oitavas!$C$2:$AQ$60,6,FALSE)</f>
        <v>Paris Saint-Germain</v>
      </c>
      <c r="D63" s="61"/>
      <c r="E63" s="62"/>
      <c r="F63" s="9"/>
      <c r="G63" s="48">
        <f>IF(C63=C$72,Pesos!$N$4,0)*IF(COUNTIF(C$51:E$71,C63)=1,2,1)</f>
        <v>3</v>
      </c>
      <c r="H63" s="64" t="str">
        <f>VLOOKUP($B63,Form_Oitavas!$C$2:$AQ$60,11,FALSE)</f>
        <v>Liverpool</v>
      </c>
      <c r="I63" s="61"/>
      <c r="J63" s="62"/>
      <c r="K63" s="9"/>
      <c r="L63" s="48">
        <f>IF(H63=H$72,Pesos!$N$4,0)*IF(COUNTIF(H$51:J$71,H63)=1,2,1)</f>
        <v>3</v>
      </c>
      <c r="M63" s="64" t="str">
        <f>VLOOKUP($B63,Form_Oitavas!$C$2:$AQ$60,16,FALSE)</f>
        <v>Real Madrid</v>
      </c>
      <c r="N63" s="61"/>
      <c r="O63" s="62"/>
      <c r="P63" s="9"/>
      <c r="Q63" s="48">
        <f>IF(M63=M$72,Pesos!$N$4,0)*IF(COUNTIF(M$51:O$71,M63)=1,2,1)</f>
        <v>3</v>
      </c>
      <c r="R63" s="64" t="str">
        <f>VLOOKUP($B63,Form_Oitavas!$C$2:$AQ$60,21,FALSE)</f>
        <v>Bayern de Munique</v>
      </c>
      <c r="S63" s="61"/>
      <c r="T63" s="62"/>
      <c r="U63" s="9"/>
      <c r="V63" s="48">
        <f>IF(R63=R$72,Pesos!$N$4,0)*IF(COUNTIF(R$51:T$71,R63)=1,2,1)</f>
        <v>3</v>
      </c>
      <c r="W63" s="64" t="str">
        <f>VLOOKUP($B63,Form_Oitavas!$C$2:$AQ$60,26,FALSE)</f>
        <v>Barcelona</v>
      </c>
      <c r="X63" s="61"/>
      <c r="Y63" s="62"/>
      <c r="Z63" s="9"/>
      <c r="AA63" s="48">
        <f>IF(W63=W$72,Pesos!$N$4,0)*IF(COUNTIF(W$51:Y$71,W63)=1,2,1)</f>
        <v>3</v>
      </c>
      <c r="AB63" s="64" t="str">
        <f>VLOOKUP($B63,Form_Oitavas!$C$2:$AQ$60,31,FALSE)</f>
        <v>Atlético de Madrid</v>
      </c>
      <c r="AC63" s="61"/>
      <c r="AD63" s="62"/>
      <c r="AE63" s="9"/>
      <c r="AF63" s="48">
        <f>IF(AB63=AB$72,Pesos!$N$4,0)*IF(COUNTIF(AB$51:AD$71,AB63)=1,2,1)</f>
        <v>3</v>
      </c>
      <c r="AG63" s="64" t="str">
        <f>VLOOKUP($B63,Form_Oitavas!$C$2:$AQ$60,36,FALSE)</f>
        <v>Sporting</v>
      </c>
      <c r="AH63" s="61"/>
      <c r="AI63" s="62"/>
      <c r="AJ63" s="9"/>
      <c r="AK63" s="48">
        <f>IF(AG63=AG$72,Pesos!$N$4,0)*IF(COUNTIF(AG$51:AI$71,AG63)=1,2,1)</f>
        <v>3</v>
      </c>
      <c r="AL63" s="64" t="str">
        <f>VLOOKUP($B63,Form_Oitavas!$C$2:$AQ$60,41,FALSE)</f>
        <v>Arsenal</v>
      </c>
      <c r="AM63" s="61"/>
      <c r="AN63" s="62"/>
      <c r="AO63" s="47"/>
      <c r="AP63" s="48">
        <f>IF(AL63=AL$72,Pesos!$N$4,0)*IF(COUNTIF(AL$51:AN$71,AL63)=1,2,1)</f>
        <v>3</v>
      </c>
      <c r="AQ63" s="41"/>
      <c r="AR63" s="41">
        <f t="shared" si="19"/>
        <v>8</v>
      </c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</row>
    <row r="64" ht="14.25" customHeight="1">
      <c r="A64" s="41"/>
      <c r="B64" s="51" t="s">
        <v>8</v>
      </c>
      <c r="C64" s="64" t="str">
        <f>VLOOKUP($B64,Form_Oitavas!$C$2:$AQ$60,6,FALSE)</f>
        <v>Chelsea</v>
      </c>
      <c r="D64" s="61"/>
      <c r="E64" s="62"/>
      <c r="F64" s="9"/>
      <c r="G64" s="48">
        <f>IF(C64=C$72,Pesos!$N$4,0)*IF(COUNTIF(C$51:E$71,C64)=1,2,1)</f>
        <v>0</v>
      </c>
      <c r="H64" s="64" t="str">
        <f>VLOOKUP($B64,Form_Oitavas!$C$2:$AQ$60,11,FALSE)</f>
        <v>Galatasaray</v>
      </c>
      <c r="I64" s="61"/>
      <c r="J64" s="62"/>
      <c r="K64" s="9"/>
      <c r="L64" s="48">
        <f>IF(H64=H$72,Pesos!$N$4,0)*IF(COUNTIF(H$51:J$71,H64)=1,2,1)</f>
        <v>0</v>
      </c>
      <c r="M64" s="64" t="str">
        <f>VLOOKUP($B64,Form_Oitavas!$C$2:$AQ$60,16,FALSE)</f>
        <v>Manchester City</v>
      </c>
      <c r="N64" s="61"/>
      <c r="O64" s="62"/>
      <c r="P64" s="9"/>
      <c r="Q64" s="48">
        <f>IF(M64=M$72,Pesos!$N$4,0)*IF(COUNTIF(M$51:O$71,M64)=1,2,1)</f>
        <v>0</v>
      </c>
      <c r="R64" s="64" t="str">
        <f>VLOOKUP($B64,Form_Oitavas!$C$2:$AQ$60,21,FALSE)</f>
        <v>Bayern de Munique</v>
      </c>
      <c r="S64" s="61"/>
      <c r="T64" s="62"/>
      <c r="U64" s="9"/>
      <c r="V64" s="48">
        <f>IF(R64=R$72,Pesos!$N$4,0)*IF(COUNTIF(R$51:T$71,R64)=1,2,1)</f>
        <v>3</v>
      </c>
      <c r="W64" s="64" t="str">
        <f>VLOOKUP($B64,Form_Oitavas!$C$2:$AQ$60,26,FALSE)</f>
        <v>Newcastle</v>
      </c>
      <c r="X64" s="61"/>
      <c r="Y64" s="62"/>
      <c r="Z64" s="9"/>
      <c r="AA64" s="48">
        <f>IF(W64=W$72,Pesos!$N$4,0)*IF(COUNTIF(W$51:Y$71,W64)=1,2,1)</f>
        <v>0</v>
      </c>
      <c r="AB64" s="64" t="str">
        <f>VLOOKUP($B64,Form_Oitavas!$C$2:$AQ$60,31,FALSE)</f>
        <v>Atlético de Madrid</v>
      </c>
      <c r="AC64" s="61"/>
      <c r="AD64" s="62"/>
      <c r="AE64" s="9"/>
      <c r="AF64" s="48">
        <f>IF(AB64=AB$72,Pesos!$N$4,0)*IF(COUNTIF(AB$51:AD$71,AB64)=1,2,1)</f>
        <v>3</v>
      </c>
      <c r="AG64" s="64" t="str">
        <f>VLOOKUP($B64,Form_Oitavas!$C$2:$AQ$60,36,FALSE)</f>
        <v>Sporting</v>
      </c>
      <c r="AH64" s="61"/>
      <c r="AI64" s="62"/>
      <c r="AJ64" s="9"/>
      <c r="AK64" s="48">
        <f>IF(AG64=AG$72,Pesos!$N$4,0)*IF(COUNTIF(AG$51:AI$71,AG64)=1,2,1)</f>
        <v>3</v>
      </c>
      <c r="AL64" s="64" t="str">
        <f>VLOOKUP($B64,Form_Oitavas!$C$2:$AQ$60,41,FALSE)</f>
        <v>Arsenal</v>
      </c>
      <c r="AM64" s="61"/>
      <c r="AN64" s="62"/>
      <c r="AO64" s="9"/>
      <c r="AP64" s="48">
        <f>IF(AL64=AL$72,Pesos!$N$4,0)*IF(COUNTIF(AL$51:AN$71,AL64)=1,2,1)</f>
        <v>3</v>
      </c>
      <c r="AQ64" s="41"/>
      <c r="AR64" s="41">
        <f t="shared" si="19"/>
        <v>4</v>
      </c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</row>
    <row r="65" ht="14.25" customHeight="1">
      <c r="A65" s="41"/>
      <c r="B65" s="51" t="s">
        <v>16</v>
      </c>
      <c r="C65" s="64" t="str">
        <f>VLOOKUP($B65,Form_Oitavas!$C$2:$AQ$60,6,FALSE)</f>
        <v>Chelsea</v>
      </c>
      <c r="D65" s="61"/>
      <c r="E65" s="62"/>
      <c r="F65" s="9"/>
      <c r="G65" s="48">
        <f>IF(C65=C$72,Pesos!$N$4,0)*IF(COUNTIF(C$51:E$71,C65)=1,2,1)</f>
        <v>0</v>
      </c>
      <c r="H65" s="64" t="str">
        <f>VLOOKUP($B65,Form_Oitavas!$C$2:$AQ$60,11,FALSE)</f>
        <v>Liverpool</v>
      </c>
      <c r="I65" s="61"/>
      <c r="J65" s="62"/>
      <c r="K65" s="9"/>
      <c r="L65" s="48">
        <f>IF(H65=H$72,Pesos!$N$4,0)*IF(COUNTIF(H$51:J$71,H65)=1,2,1)</f>
        <v>3</v>
      </c>
      <c r="M65" s="64" t="str">
        <f>VLOOKUP($B65,Form_Oitavas!$C$2:$AQ$60,16,FALSE)</f>
        <v>Manchester City</v>
      </c>
      <c r="N65" s="61"/>
      <c r="O65" s="62"/>
      <c r="P65" s="9"/>
      <c r="Q65" s="48">
        <f>IF(M65=M$72,Pesos!$N$4,0)*IF(COUNTIF(M$51:O$71,M65)=1,2,1)</f>
        <v>0</v>
      </c>
      <c r="R65" s="64" t="str">
        <f>VLOOKUP($B65,Form_Oitavas!$C$2:$AQ$60,21,FALSE)</f>
        <v>Bayern de Munique</v>
      </c>
      <c r="S65" s="61"/>
      <c r="T65" s="62"/>
      <c r="U65" s="9"/>
      <c r="V65" s="48">
        <f>IF(R65=R$72,Pesos!$N$4,0)*IF(COUNTIF(R$51:T$71,R65)=1,2,1)</f>
        <v>3</v>
      </c>
      <c r="W65" s="64" t="str">
        <f>VLOOKUP($B65,Form_Oitavas!$C$2:$AQ$60,26,FALSE)</f>
        <v>Barcelona</v>
      </c>
      <c r="X65" s="61"/>
      <c r="Y65" s="62"/>
      <c r="Z65" s="9"/>
      <c r="AA65" s="48">
        <f>IF(W65=W$72,Pesos!$N$4,0)*IF(COUNTIF(W$51:Y$71,W65)=1,2,1)</f>
        <v>3</v>
      </c>
      <c r="AB65" s="64" t="str">
        <f>VLOOKUP($B65,Form_Oitavas!$C$2:$AQ$60,31,FALSE)</f>
        <v>Atlético de Madrid</v>
      </c>
      <c r="AC65" s="61"/>
      <c r="AD65" s="62"/>
      <c r="AE65" s="9"/>
      <c r="AF65" s="48">
        <f>IF(AB65=AB$72,Pesos!$N$4,0)*IF(COUNTIF(AB$51:AD$71,AB65)=1,2,1)</f>
        <v>3</v>
      </c>
      <c r="AG65" s="64" t="str">
        <f>VLOOKUP($B65,Form_Oitavas!$C$2:$AQ$60,36,FALSE)</f>
        <v>Bodö/Glimt</v>
      </c>
      <c r="AH65" s="61"/>
      <c r="AI65" s="62"/>
      <c r="AJ65" s="9"/>
      <c r="AK65" s="48">
        <f>IF(AG65=AG$72,Pesos!$N$4,0)*IF(COUNTIF(AG$51:AI$71,AG65)=1,2,1)</f>
        <v>0</v>
      </c>
      <c r="AL65" s="64" t="str">
        <f>VLOOKUP($B65,Form_Oitavas!$C$2:$AQ$60,41,FALSE)</f>
        <v>Arsenal</v>
      </c>
      <c r="AM65" s="61"/>
      <c r="AN65" s="62"/>
      <c r="AO65" s="47"/>
      <c r="AP65" s="48">
        <f>IF(AL65=AL$72,Pesos!$N$4,0)*IF(COUNTIF(AL$51:AN$71,AL65)=1,2,1)</f>
        <v>3</v>
      </c>
      <c r="AQ65" s="41"/>
      <c r="AR65" s="41">
        <f t="shared" si="19"/>
        <v>5</v>
      </c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</row>
    <row r="66" ht="14.25" customHeight="1">
      <c r="A66" s="41"/>
      <c r="B66" s="51" t="s">
        <v>11</v>
      </c>
      <c r="C66" s="64" t="str">
        <f>VLOOKUP($B66,Form_Oitavas!$C$2:$AQ$60,6,FALSE)</f>
        <v>Chelsea</v>
      </c>
      <c r="D66" s="61"/>
      <c r="E66" s="62"/>
      <c r="F66" s="9"/>
      <c r="G66" s="48">
        <f>IF(C66=C$72,Pesos!$N$4,0)*IF(COUNTIF(C$51:E$71,C66)=1,2,1)</f>
        <v>0</v>
      </c>
      <c r="H66" s="64" t="str">
        <f>VLOOKUP($B66,Form_Oitavas!$C$2:$AQ$60,11,FALSE)</f>
        <v>Liverpool</v>
      </c>
      <c r="I66" s="61"/>
      <c r="J66" s="62"/>
      <c r="K66" s="9"/>
      <c r="L66" s="48">
        <f>IF(H66=H$72,Pesos!$N$4,0)*IF(COUNTIF(H$51:J$71,H66)=1,2,1)</f>
        <v>3</v>
      </c>
      <c r="M66" s="64" t="str">
        <f>VLOOKUP($B66,Form_Oitavas!$C$2:$AQ$60,16,FALSE)</f>
        <v>Manchester City</v>
      </c>
      <c r="N66" s="61"/>
      <c r="O66" s="62"/>
      <c r="P66" s="9"/>
      <c r="Q66" s="48">
        <f>IF(M66=M$72,Pesos!$N$4,0)*IF(COUNTIF(M$51:O$71,M66)=1,2,1)</f>
        <v>0</v>
      </c>
      <c r="R66" s="64" t="str">
        <f>VLOOKUP($B66,Form_Oitavas!$C$2:$AQ$60,21,FALSE)</f>
        <v>Bayern de Munique</v>
      </c>
      <c r="S66" s="61"/>
      <c r="T66" s="62"/>
      <c r="U66" s="9"/>
      <c r="V66" s="48">
        <f>IF(R66=R$72,Pesos!$N$4,0)*IF(COUNTIF(R$51:T$71,R66)=1,2,1)</f>
        <v>3</v>
      </c>
      <c r="W66" s="64" t="str">
        <f>VLOOKUP($B66,Form_Oitavas!$C$2:$AQ$60,26,FALSE)</f>
        <v>Barcelona</v>
      </c>
      <c r="X66" s="61"/>
      <c r="Y66" s="62"/>
      <c r="Z66" s="9"/>
      <c r="AA66" s="48">
        <f>IF(W66=W$72,Pesos!$N$4,0)*IF(COUNTIF(W$51:Y$71,W66)=1,2,1)</f>
        <v>3</v>
      </c>
      <c r="AB66" s="64" t="str">
        <f>VLOOKUP($B66,Form_Oitavas!$C$2:$AQ$60,31,FALSE)</f>
        <v>Tottenham</v>
      </c>
      <c r="AC66" s="61"/>
      <c r="AD66" s="62"/>
      <c r="AE66" s="9"/>
      <c r="AF66" s="48">
        <f>IF(AB66=AB$72,Pesos!$N$4,0)*IF(COUNTIF(AB$51:AD$71,AB66)=1,2,1)</f>
        <v>0</v>
      </c>
      <c r="AG66" s="64" t="str">
        <f>VLOOKUP($B66,Form_Oitavas!$C$2:$AQ$60,36,FALSE)</f>
        <v>Bodö/Glimt</v>
      </c>
      <c r="AH66" s="61"/>
      <c r="AI66" s="62"/>
      <c r="AJ66" s="9"/>
      <c r="AK66" s="48">
        <f>IF(AG66=AG$72,Pesos!$N$4,0)*IF(COUNTIF(AG$51:AI$71,AG66)=1,2,1)</f>
        <v>0</v>
      </c>
      <c r="AL66" s="64" t="str">
        <f>VLOOKUP($B66,Form_Oitavas!$C$2:$AQ$60,41,FALSE)</f>
        <v>Arsenal</v>
      </c>
      <c r="AM66" s="61"/>
      <c r="AN66" s="62"/>
      <c r="AO66" s="47"/>
      <c r="AP66" s="48">
        <f>IF(AL66=AL$72,Pesos!$N$4,0)*IF(COUNTIF(AL$51:AN$71,AL66)=1,2,1)</f>
        <v>3</v>
      </c>
      <c r="AQ66" s="41"/>
      <c r="AR66" s="41">
        <f t="shared" si="19"/>
        <v>4</v>
      </c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</row>
    <row r="67" ht="14.25" customHeight="1">
      <c r="A67" s="41"/>
      <c r="B67" s="45" t="s">
        <v>7</v>
      </c>
      <c r="C67" s="64" t="str">
        <f>VLOOKUP($B67,Form_Oitavas!$C$2:$AQ$60,6,FALSE)</f>
        <v>Chelsea</v>
      </c>
      <c r="D67" s="61"/>
      <c r="E67" s="62"/>
      <c r="F67" s="9"/>
      <c r="G67" s="48">
        <f>IF(C67=C$72,Pesos!$N$4,0)*IF(COUNTIF(C$51:E$71,C67)=1,2,1)</f>
        <v>0</v>
      </c>
      <c r="H67" s="64" t="str">
        <f>VLOOKUP($B67,Form_Oitavas!$C$2:$AQ$60,11,FALSE)</f>
        <v>Liverpool</v>
      </c>
      <c r="I67" s="61"/>
      <c r="J67" s="62"/>
      <c r="K67" s="9"/>
      <c r="L67" s="48">
        <f>IF(H67=H$72,Pesos!$N$4,0)*IF(COUNTIF(H$51:J$71,H67)=1,2,1)</f>
        <v>3</v>
      </c>
      <c r="M67" s="64" t="str">
        <f>VLOOKUP($B67,Form_Oitavas!$C$2:$AQ$60,16,FALSE)</f>
        <v>Real Madrid</v>
      </c>
      <c r="N67" s="61"/>
      <c r="O67" s="62"/>
      <c r="P67" s="9"/>
      <c r="Q67" s="48">
        <f>IF(M67=M$72,Pesos!$N$4,0)*IF(COUNTIF(M$51:O$71,M67)=1,2,1)</f>
        <v>3</v>
      </c>
      <c r="R67" s="64" t="str">
        <f>VLOOKUP($B67,Form_Oitavas!$C$2:$AQ$60,21,FALSE)</f>
        <v>Bayern de Munique</v>
      </c>
      <c r="S67" s="61"/>
      <c r="T67" s="62"/>
      <c r="U67" s="9"/>
      <c r="V67" s="48">
        <f>IF(R67=R$72,Pesos!$N$4,0)*IF(COUNTIF(R$51:T$71,R67)=1,2,1)</f>
        <v>3</v>
      </c>
      <c r="W67" s="64" t="str">
        <f>VLOOKUP($B67,Form_Oitavas!$C$2:$AQ$60,26,FALSE)</f>
        <v>Barcelona</v>
      </c>
      <c r="X67" s="61"/>
      <c r="Y67" s="62"/>
      <c r="Z67" s="9"/>
      <c r="AA67" s="48">
        <f>IF(W67=W$72,Pesos!$N$4,0)*IF(COUNTIF(W$51:Y$71,W67)=1,2,1)</f>
        <v>3</v>
      </c>
      <c r="AB67" s="64" t="str">
        <f>VLOOKUP($B67,Form_Oitavas!$C$2:$AQ$60,31,FALSE)</f>
        <v>Atlético de Madrid</v>
      </c>
      <c r="AC67" s="61"/>
      <c r="AD67" s="62"/>
      <c r="AE67" s="9"/>
      <c r="AF67" s="48">
        <f>IF(AB67=AB$72,Pesos!$N$4,0)*IF(COUNTIF(AB$51:AD$71,AB67)=1,2,1)</f>
        <v>3</v>
      </c>
      <c r="AG67" s="64" t="str">
        <f>VLOOKUP($B67,Form_Oitavas!$C$2:$AQ$60,36,FALSE)</f>
        <v>Sporting</v>
      </c>
      <c r="AH67" s="61"/>
      <c r="AI67" s="62"/>
      <c r="AJ67" s="9"/>
      <c r="AK67" s="48">
        <f>IF(AG67=AG$72,Pesos!$N$4,0)*IF(COUNTIF(AG$51:AI$71,AG67)=1,2,1)</f>
        <v>3</v>
      </c>
      <c r="AL67" s="64" t="str">
        <f>VLOOKUP($B67,Form_Oitavas!$C$2:$AQ$60,41,FALSE)</f>
        <v>Arsenal</v>
      </c>
      <c r="AM67" s="61"/>
      <c r="AN67" s="62"/>
      <c r="AO67" s="9"/>
      <c r="AP67" s="48">
        <f>IF(AL67=AL$72,Pesos!$N$4,0)*IF(COUNTIF(AL$51:AN$71,AL67)=1,2,1)</f>
        <v>3</v>
      </c>
      <c r="AQ67" s="41"/>
      <c r="AR67" s="41">
        <f t="shared" si="19"/>
        <v>7</v>
      </c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</row>
    <row r="68" ht="14.25" customHeight="1">
      <c r="A68" s="41"/>
      <c r="B68" s="65" t="s">
        <v>19</v>
      </c>
      <c r="C68" s="64" t="str">
        <f>VLOOKUP($B68,Form_Oitavas!$C$2:$AQ$60,6,FALSE)</f>
        <v>Paris Saint-Germain</v>
      </c>
      <c r="D68" s="61"/>
      <c r="E68" s="62"/>
      <c r="F68" s="9"/>
      <c r="G68" s="48">
        <f>IF(C68=C$72,Pesos!$N$4,0)*IF(COUNTIF(C$51:E$71,C68)=1,2,1)</f>
        <v>3</v>
      </c>
      <c r="H68" s="64" t="str">
        <f>VLOOKUP($B68,Form_Oitavas!$C$2:$AQ$60,11,FALSE)</f>
        <v>Liverpool</v>
      </c>
      <c r="I68" s="61"/>
      <c r="J68" s="62"/>
      <c r="K68" s="9"/>
      <c r="L68" s="48">
        <f>IF(H68=H$72,Pesos!$N$4,0)*IF(COUNTIF(H$51:J$71,H68)=1,2,1)</f>
        <v>3</v>
      </c>
      <c r="M68" s="64" t="str">
        <f>VLOOKUP($B68,Form_Oitavas!$C$2:$AQ$60,16,FALSE)</f>
        <v>Manchester City</v>
      </c>
      <c r="N68" s="61"/>
      <c r="O68" s="62"/>
      <c r="P68" s="9"/>
      <c r="Q68" s="48">
        <f>IF(M68=M$72,Pesos!$N$4,0)*IF(COUNTIF(M$51:O$71,M68)=1,2,1)</f>
        <v>0</v>
      </c>
      <c r="R68" s="64" t="str">
        <f>VLOOKUP($B68,Form_Oitavas!$C$2:$AQ$60,21,FALSE)</f>
        <v>Bayern de Munique</v>
      </c>
      <c r="S68" s="61"/>
      <c r="T68" s="62"/>
      <c r="U68" s="9"/>
      <c r="V68" s="48">
        <f>IF(R68=R$72,Pesos!$N$4,0)*IF(COUNTIF(R$51:T$71,R68)=1,2,1)</f>
        <v>3</v>
      </c>
      <c r="W68" s="64" t="str">
        <f>VLOOKUP($B68,Form_Oitavas!$C$2:$AQ$60,26,FALSE)</f>
        <v>Newcastle</v>
      </c>
      <c r="X68" s="61"/>
      <c r="Y68" s="62"/>
      <c r="Z68" s="9"/>
      <c r="AA68" s="48">
        <f>IF(W68=W$72,Pesos!$N$4,0)*IF(COUNTIF(W$51:Y$71,W68)=1,2,1)</f>
        <v>0</v>
      </c>
      <c r="AB68" s="64" t="str">
        <f>VLOOKUP($B68,Form_Oitavas!$C$2:$AQ$60,31,FALSE)</f>
        <v>Atlético de Madrid</v>
      </c>
      <c r="AC68" s="61"/>
      <c r="AD68" s="62"/>
      <c r="AE68" s="9"/>
      <c r="AF68" s="48">
        <f>IF(AB68=AB$72,Pesos!$N$4,0)*IF(COUNTIF(AB$51:AD$71,AB68)=1,2,1)</f>
        <v>3</v>
      </c>
      <c r="AG68" s="64" t="str">
        <f>VLOOKUP($B68,Form_Oitavas!$C$2:$AQ$60,36,FALSE)</f>
        <v>Sporting</v>
      </c>
      <c r="AH68" s="61"/>
      <c r="AI68" s="62"/>
      <c r="AJ68" s="9"/>
      <c r="AK68" s="48">
        <f>IF(AG68=AG$72,Pesos!$N$4,0)*IF(COUNTIF(AG$51:AI$71,AG68)=1,2,1)</f>
        <v>3</v>
      </c>
      <c r="AL68" s="64" t="str">
        <f>VLOOKUP($B68,Form_Oitavas!$C$2:$AQ$60,41,FALSE)</f>
        <v>Arsenal</v>
      </c>
      <c r="AM68" s="61"/>
      <c r="AN68" s="62"/>
      <c r="AO68" s="9"/>
      <c r="AP68" s="48">
        <f>IF(AL68=AL$72,Pesos!$N$4,0)*IF(COUNTIF(AL$51:AN$71,AL68)=1,2,1)</f>
        <v>3</v>
      </c>
      <c r="AQ68" s="41"/>
      <c r="AR68" s="41">
        <f t="shared" si="19"/>
        <v>6</v>
      </c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</row>
    <row r="69" ht="14.25" customHeight="1">
      <c r="A69" s="41"/>
      <c r="B69" s="65" t="s">
        <v>20</v>
      </c>
      <c r="C69" s="64" t="str">
        <f>VLOOKUP($B69,Form_Oitavas!$C$2:$AQ$60,6,FALSE)</f>
        <v>Chelsea</v>
      </c>
      <c r="D69" s="61"/>
      <c r="E69" s="62"/>
      <c r="F69" s="9"/>
      <c r="G69" s="48">
        <f>IF(C69=C$72,Pesos!$N$4,0)*IF(COUNTIF(C$51:E$71,C69)=1,2,1)</f>
        <v>0</v>
      </c>
      <c r="H69" s="64" t="str">
        <f>VLOOKUP($B69,Form_Oitavas!$C$2:$AQ$60,11,FALSE)</f>
        <v>Galatasaray</v>
      </c>
      <c r="I69" s="61"/>
      <c r="J69" s="62"/>
      <c r="K69" s="9"/>
      <c r="L69" s="48">
        <f>IF(H69=H$72,Pesos!$N$4,0)*IF(COUNTIF(H$51:J$71,H69)=1,2,1)</f>
        <v>0</v>
      </c>
      <c r="M69" s="64" t="str">
        <f>VLOOKUP($B69,Form_Oitavas!$C$2:$AQ$60,16,FALSE)</f>
        <v>Manchester City</v>
      </c>
      <c r="N69" s="61"/>
      <c r="O69" s="62"/>
      <c r="P69" s="9"/>
      <c r="Q69" s="48">
        <f>IF(M69=M$72,Pesos!$N$4,0)*IF(COUNTIF(M$51:O$71,M69)=1,2,1)</f>
        <v>0</v>
      </c>
      <c r="R69" s="64" t="str">
        <f>VLOOKUP($B69,Form_Oitavas!$C$2:$AQ$60,21,FALSE)</f>
        <v>Bayern de Munique</v>
      </c>
      <c r="S69" s="61"/>
      <c r="T69" s="62"/>
      <c r="U69" s="9"/>
      <c r="V69" s="48">
        <f>IF(R69=R$72,Pesos!$N$4,0)*IF(COUNTIF(R$51:T$71,R69)=1,2,1)</f>
        <v>3</v>
      </c>
      <c r="W69" s="64" t="str">
        <f>VLOOKUP($B69,Form_Oitavas!$C$2:$AQ$60,26,FALSE)</f>
        <v>Barcelona</v>
      </c>
      <c r="X69" s="61"/>
      <c r="Y69" s="62"/>
      <c r="Z69" s="9"/>
      <c r="AA69" s="48">
        <f>IF(W69=W$72,Pesos!$N$4,0)*IF(COUNTIF(W$51:Y$71,W69)=1,2,1)</f>
        <v>3</v>
      </c>
      <c r="AB69" s="64" t="str">
        <f>VLOOKUP($B69,Form_Oitavas!$C$2:$AQ$60,31,FALSE)</f>
        <v>Tottenham</v>
      </c>
      <c r="AC69" s="61"/>
      <c r="AD69" s="62"/>
      <c r="AE69" s="9"/>
      <c r="AF69" s="48">
        <f>IF(AB69=AB$72,Pesos!$N$4,0)*IF(COUNTIF(AB$51:AD$71,AB69)=1,2,1)</f>
        <v>0</v>
      </c>
      <c r="AG69" s="64" t="str">
        <f>VLOOKUP($B69,Form_Oitavas!$C$2:$AQ$60,36,FALSE)</f>
        <v>Sporting</v>
      </c>
      <c r="AH69" s="61"/>
      <c r="AI69" s="62"/>
      <c r="AJ69" s="9"/>
      <c r="AK69" s="48">
        <f>IF(AG69=AG$72,Pesos!$N$4,0)*IF(COUNTIF(AG$51:AI$71,AG69)=1,2,1)</f>
        <v>3</v>
      </c>
      <c r="AL69" s="64" t="str">
        <f>VLOOKUP($B69,Form_Oitavas!$C$2:$AQ$60,41,FALSE)</f>
        <v>Arsenal</v>
      </c>
      <c r="AM69" s="61"/>
      <c r="AN69" s="62"/>
      <c r="AO69" s="9"/>
      <c r="AP69" s="48">
        <f>IF(AL69=AL$72,Pesos!$N$4,0)*IF(COUNTIF(AL$51:AN$71,AL69)=1,2,1)</f>
        <v>3</v>
      </c>
      <c r="AQ69" s="41"/>
      <c r="AR69" s="41">
        <f t="shared" si="19"/>
        <v>4</v>
      </c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</row>
    <row r="70" ht="14.25" customHeight="1">
      <c r="A70" s="41"/>
      <c r="B70" s="65" t="s">
        <v>21</v>
      </c>
      <c r="C70" s="64" t="str">
        <f>VLOOKUP($B70,Form_Oitavas!$C$2:$AQ$60,6,FALSE)</f>
        <v>Chelsea</v>
      </c>
      <c r="D70" s="61"/>
      <c r="E70" s="62"/>
      <c r="F70" s="9"/>
      <c r="G70" s="48">
        <f>IF(C70=C$72,Pesos!$N$4,0)*IF(COUNTIF(C$51:E$71,C70)=1,2,1)</f>
        <v>0</v>
      </c>
      <c r="H70" s="64" t="str">
        <f>VLOOKUP($B70,Form_Oitavas!$C$2:$AQ$60,11,FALSE)</f>
        <v>Liverpool</v>
      </c>
      <c r="I70" s="61"/>
      <c r="J70" s="62"/>
      <c r="K70" s="9"/>
      <c r="L70" s="48">
        <f>IF(H70=H$72,Pesos!$N$4,0)*IF(COUNTIF(H$51:J$71,H70)=1,2,1)</f>
        <v>3</v>
      </c>
      <c r="M70" s="64" t="str">
        <f>VLOOKUP($B70,Form_Oitavas!$C$2:$AQ$60,16,FALSE)</f>
        <v>Real Madrid</v>
      </c>
      <c r="N70" s="61"/>
      <c r="O70" s="62"/>
      <c r="P70" s="9"/>
      <c r="Q70" s="48">
        <f>IF(M70=M$72,Pesos!$N$4,0)*IF(COUNTIF(M$51:O$71,M70)=1,2,1)</f>
        <v>3</v>
      </c>
      <c r="R70" s="64" t="str">
        <f>VLOOKUP($B70,Form_Oitavas!$C$2:$AQ$60,21,FALSE)</f>
        <v>Bayern de Munique</v>
      </c>
      <c r="S70" s="61"/>
      <c r="T70" s="62"/>
      <c r="U70" s="9"/>
      <c r="V70" s="48">
        <f>IF(R70=R$72,Pesos!$N$4,0)*IF(COUNTIF(R$51:T$71,R70)=1,2,1)</f>
        <v>3</v>
      </c>
      <c r="W70" s="64" t="str">
        <f>VLOOKUP($B70,Form_Oitavas!$C$2:$AQ$60,26,FALSE)</f>
        <v>Barcelona</v>
      </c>
      <c r="X70" s="61"/>
      <c r="Y70" s="62"/>
      <c r="Z70" s="9"/>
      <c r="AA70" s="48">
        <f>IF(W70=W$72,Pesos!$N$4,0)*IF(COUNTIF(W$51:Y$71,W70)=1,2,1)</f>
        <v>3</v>
      </c>
      <c r="AB70" s="64" t="str">
        <f>VLOOKUP($B70,Form_Oitavas!$C$2:$AQ$60,31,FALSE)</f>
        <v>Atlético de Madrid</v>
      </c>
      <c r="AC70" s="61"/>
      <c r="AD70" s="62"/>
      <c r="AE70" s="9"/>
      <c r="AF70" s="48">
        <f>IF(AB70=AB$72,Pesos!$N$4,0)*IF(COUNTIF(AB$51:AD$71,AB70)=1,2,1)</f>
        <v>3</v>
      </c>
      <c r="AG70" s="64" t="str">
        <f>VLOOKUP($B70,Form_Oitavas!$C$2:$AQ$60,36,FALSE)</f>
        <v>Sporting</v>
      </c>
      <c r="AH70" s="61"/>
      <c r="AI70" s="62"/>
      <c r="AJ70" s="9"/>
      <c r="AK70" s="48">
        <f>IF(AG70=AG$72,Pesos!$N$4,0)*IF(COUNTIF(AG$51:AI$71,AG70)=1,2,1)</f>
        <v>3</v>
      </c>
      <c r="AL70" s="64" t="str">
        <f>VLOOKUP($B70,Form_Oitavas!$C$2:$AQ$60,41,FALSE)</f>
        <v>Arsenal</v>
      </c>
      <c r="AM70" s="61"/>
      <c r="AN70" s="62"/>
      <c r="AO70" s="9"/>
      <c r="AP70" s="48">
        <f>IF(AL70=AL$72,Pesos!$N$4,0)*IF(COUNTIF(AL$51:AN$71,AL70)=1,2,1)</f>
        <v>3</v>
      </c>
      <c r="AQ70" s="41"/>
      <c r="AR70" s="41">
        <f t="shared" si="19"/>
        <v>7</v>
      </c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</row>
    <row r="71" ht="14.25" customHeight="1">
      <c r="A71" s="41"/>
      <c r="B71" s="65" t="s">
        <v>22</v>
      </c>
      <c r="C71" s="64" t="str">
        <f>VLOOKUP($B71,Form_Oitavas!$C$2:$AQ$60,6,FALSE)</f>
        <v>Paris Saint-Germain</v>
      </c>
      <c r="D71" s="61"/>
      <c r="E71" s="62"/>
      <c r="F71" s="9"/>
      <c r="G71" s="48">
        <f>IF(C71=C$72,Pesos!$N$4,0)*IF(COUNTIF(C$51:E$71,C71)=1,2,1)</f>
        <v>3</v>
      </c>
      <c r="H71" s="64" t="str">
        <f>VLOOKUP($B71,Form_Oitavas!$C$2:$AQ$60,11,FALSE)</f>
        <v>Liverpool</v>
      </c>
      <c r="I71" s="61"/>
      <c r="J71" s="62"/>
      <c r="K71" s="9"/>
      <c r="L71" s="48">
        <f>IF(H71=H$72,Pesos!$N$4,0)*IF(COUNTIF(H$51:J$71,H71)=1,2,1)</f>
        <v>3</v>
      </c>
      <c r="M71" s="64" t="str">
        <f>VLOOKUP($B71,Form_Oitavas!$C$2:$AQ$60,16,FALSE)</f>
        <v>Real Madrid</v>
      </c>
      <c r="N71" s="61"/>
      <c r="O71" s="62"/>
      <c r="P71" s="9"/>
      <c r="Q71" s="48">
        <f>IF(M71=M$72,Pesos!$N$4,0)*IF(COUNTIF(M$51:O$71,M71)=1,2,1)</f>
        <v>3</v>
      </c>
      <c r="R71" s="64" t="str">
        <f>VLOOKUP($B71,Form_Oitavas!$C$2:$AQ$60,21,FALSE)</f>
        <v>Bayern de Munique</v>
      </c>
      <c r="S71" s="61"/>
      <c r="T71" s="62"/>
      <c r="U71" s="9"/>
      <c r="V71" s="48">
        <f>IF(R71=R$72,Pesos!$N$4,0)*IF(COUNTIF(R$51:T$71,R71)=1,2,1)</f>
        <v>3</v>
      </c>
      <c r="W71" s="64" t="str">
        <f>VLOOKUP($B71,Form_Oitavas!$C$2:$AQ$60,26,FALSE)</f>
        <v>Barcelona</v>
      </c>
      <c r="X71" s="61"/>
      <c r="Y71" s="62"/>
      <c r="Z71" s="9"/>
      <c r="AA71" s="48">
        <f>IF(W71=W$72,Pesos!$N$4,0)*IF(COUNTIF(W$51:Y$71,W71)=1,2,1)</f>
        <v>3</v>
      </c>
      <c r="AB71" s="64" t="str">
        <f>VLOOKUP($B71,Form_Oitavas!$C$2:$AQ$60,31,FALSE)</f>
        <v>Atlético de Madrid</v>
      </c>
      <c r="AC71" s="61"/>
      <c r="AD71" s="62"/>
      <c r="AE71" s="9"/>
      <c r="AF71" s="48">
        <f>IF(AB71=AB$72,Pesos!$N$4,0)*IF(COUNTIF(AB$51:AD$71,AB71)=1,2,1)</f>
        <v>3</v>
      </c>
      <c r="AG71" s="64" t="str">
        <f>VLOOKUP($B71,Form_Oitavas!$C$2:$AQ$60,36,FALSE)</f>
        <v>Sporting</v>
      </c>
      <c r="AH71" s="61"/>
      <c r="AI71" s="62"/>
      <c r="AJ71" s="9"/>
      <c r="AK71" s="48">
        <f>IF(AG71=AG$72,Pesos!$N$4,0)*IF(COUNTIF(AG$51:AI$71,AG71)=1,2,1)</f>
        <v>3</v>
      </c>
      <c r="AL71" s="64" t="str">
        <f>VLOOKUP($B71,Form_Oitavas!$C$2:$AQ$60,41,FALSE)</f>
        <v>Arsenal</v>
      </c>
      <c r="AM71" s="61"/>
      <c r="AN71" s="62"/>
      <c r="AO71" s="9"/>
      <c r="AP71" s="48">
        <f>IF(AL71=AL$72,Pesos!$N$4,0)*IF(COUNTIF(AL$51:AN$71,AL71)=1,2,1)</f>
        <v>3</v>
      </c>
      <c r="AQ71" s="41"/>
      <c r="AR71" s="41">
        <f t="shared" si="19"/>
        <v>8</v>
      </c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</row>
    <row r="72" ht="14.25" customHeight="1">
      <c r="A72" s="56"/>
      <c r="B72" s="53" t="s">
        <v>1</v>
      </c>
      <c r="C72" s="66" t="s">
        <v>44</v>
      </c>
      <c r="D72" s="61"/>
      <c r="E72" s="62"/>
      <c r="F72" s="9"/>
      <c r="G72" s="48"/>
      <c r="H72" s="66" t="s">
        <v>46</v>
      </c>
      <c r="I72" s="61"/>
      <c r="J72" s="62"/>
      <c r="K72" s="55"/>
      <c r="L72" s="48"/>
      <c r="M72" s="67" t="s">
        <v>40</v>
      </c>
      <c r="N72" s="61"/>
      <c r="O72" s="62"/>
      <c r="P72" s="55"/>
      <c r="Q72" s="48"/>
      <c r="R72" s="66" t="s">
        <v>45</v>
      </c>
      <c r="S72" s="61"/>
      <c r="T72" s="62"/>
      <c r="U72" s="55"/>
      <c r="V72" s="48"/>
      <c r="W72" s="66" t="s">
        <v>52</v>
      </c>
      <c r="X72" s="61"/>
      <c r="Y72" s="62"/>
      <c r="Z72" s="47"/>
      <c r="AA72" s="48"/>
      <c r="AB72" s="66" t="s">
        <v>56</v>
      </c>
      <c r="AC72" s="61"/>
      <c r="AD72" s="62"/>
      <c r="AE72" s="47"/>
      <c r="AF72" s="48"/>
      <c r="AG72" s="66" t="s">
        <v>51</v>
      </c>
      <c r="AH72" s="61"/>
      <c r="AI72" s="62"/>
      <c r="AJ72" s="47"/>
      <c r="AK72" s="48"/>
      <c r="AL72" s="66" t="s">
        <v>39</v>
      </c>
      <c r="AM72" s="61"/>
      <c r="AN72" s="62"/>
      <c r="AO72" s="55"/>
      <c r="AP72" s="48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</row>
    <row r="73" ht="14.25" customHeight="1">
      <c r="A73" s="41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</row>
    <row r="74" ht="14.25" customHeight="1">
      <c r="A74" s="41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68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</row>
    <row r="75" ht="14.25" customHeight="1">
      <c r="A75" s="41"/>
      <c r="B75" s="63" t="s">
        <v>9</v>
      </c>
      <c r="C75" s="40"/>
      <c r="D75" s="40"/>
      <c r="E75" s="40"/>
      <c r="F75" s="40"/>
      <c r="G75" s="40">
        <f t="shared" ref="G75:G95" si="20">(G51+G27+G3)*2</f>
        <v>8</v>
      </c>
      <c r="H75" s="40"/>
      <c r="I75" s="40"/>
      <c r="J75" s="40"/>
      <c r="K75" s="40"/>
      <c r="L75" s="40">
        <f t="shared" ref="L75:L95" si="21">L51+L27+L3</f>
        <v>4</v>
      </c>
      <c r="M75" s="40"/>
      <c r="N75" s="40"/>
      <c r="O75" s="40"/>
      <c r="P75" s="40"/>
      <c r="Q75" s="40">
        <f t="shared" ref="Q75:Q95" si="22">(Q51+Q27+Q3)*2</f>
        <v>8</v>
      </c>
      <c r="R75" s="40"/>
      <c r="S75" s="40"/>
      <c r="T75" s="40"/>
      <c r="U75" s="40"/>
      <c r="V75" s="40">
        <f t="shared" ref="V75:V95" si="23">V51+V27+V3</f>
        <v>4</v>
      </c>
      <c r="W75" s="40"/>
      <c r="X75" s="40"/>
      <c r="Y75" s="40"/>
      <c r="Z75" s="40"/>
      <c r="AA75" s="40">
        <f t="shared" ref="AA75:AA95" si="24">AA51+AA27+AA3</f>
        <v>4</v>
      </c>
      <c r="AB75" s="40"/>
      <c r="AC75" s="40"/>
      <c r="AD75" s="40"/>
      <c r="AE75" s="40"/>
      <c r="AF75" s="40">
        <f t="shared" ref="AF75:AF95" si="25">AF51+AF27+AF3</f>
        <v>1</v>
      </c>
      <c r="AG75" s="40"/>
      <c r="AH75" s="40"/>
      <c r="AI75" s="40"/>
      <c r="AJ75" s="40"/>
      <c r="AK75" s="40">
        <f t="shared" ref="AK75:AK95" si="26">AK51+AK27+AK3</f>
        <v>5</v>
      </c>
      <c r="AL75" s="40"/>
      <c r="AM75" s="40"/>
      <c r="AN75" s="40"/>
      <c r="AO75" s="40"/>
      <c r="AP75" s="40">
        <f t="shared" ref="AP75:AP95" si="27">AP51+AP27+AP3</f>
        <v>5</v>
      </c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</row>
    <row r="76" ht="14.25" customHeight="1">
      <c r="A76" s="41"/>
      <c r="B76" s="51" t="s">
        <v>10</v>
      </c>
      <c r="C76" s="40"/>
      <c r="D76" s="40"/>
      <c r="E76" s="40"/>
      <c r="F76" s="40"/>
      <c r="G76" s="40">
        <f t="shared" si="20"/>
        <v>8</v>
      </c>
      <c r="H76" s="40"/>
      <c r="I76" s="40"/>
      <c r="J76" s="40"/>
      <c r="K76" s="40"/>
      <c r="L76" s="40">
        <f t="shared" si="21"/>
        <v>10</v>
      </c>
      <c r="M76" s="40"/>
      <c r="N76" s="40"/>
      <c r="O76" s="40"/>
      <c r="P76" s="40"/>
      <c r="Q76" s="40">
        <f t="shared" si="22"/>
        <v>0</v>
      </c>
      <c r="R76" s="40"/>
      <c r="S76" s="40"/>
      <c r="T76" s="40"/>
      <c r="U76" s="40"/>
      <c r="V76" s="40">
        <f t="shared" si="23"/>
        <v>5</v>
      </c>
      <c r="W76" s="40"/>
      <c r="X76" s="40"/>
      <c r="Y76" s="40"/>
      <c r="Z76" s="40"/>
      <c r="AA76" s="40">
        <f t="shared" si="24"/>
        <v>4</v>
      </c>
      <c r="AB76" s="40"/>
      <c r="AC76" s="40"/>
      <c r="AD76" s="40"/>
      <c r="AE76" s="40"/>
      <c r="AF76" s="40">
        <f t="shared" si="25"/>
        <v>5</v>
      </c>
      <c r="AG76" s="40"/>
      <c r="AH76" s="40"/>
      <c r="AI76" s="40"/>
      <c r="AJ76" s="40"/>
      <c r="AK76" s="40">
        <f t="shared" si="26"/>
        <v>1</v>
      </c>
      <c r="AL76" s="40"/>
      <c r="AM76" s="40"/>
      <c r="AN76" s="40"/>
      <c r="AO76" s="40"/>
      <c r="AP76" s="40">
        <f t="shared" si="27"/>
        <v>4</v>
      </c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</row>
    <row r="77" ht="14.25" customHeight="1">
      <c r="A77" s="41"/>
      <c r="B77" s="51" t="s">
        <v>17</v>
      </c>
      <c r="C77" s="40"/>
      <c r="D77" s="40"/>
      <c r="E77" s="40"/>
      <c r="F77" s="40"/>
      <c r="G77" s="40">
        <f t="shared" si="20"/>
        <v>8</v>
      </c>
      <c r="H77" s="40"/>
      <c r="I77" s="40"/>
      <c r="J77" s="40"/>
      <c r="K77" s="40"/>
      <c r="L77" s="40">
        <f t="shared" si="21"/>
        <v>4</v>
      </c>
      <c r="M77" s="40"/>
      <c r="N77" s="40"/>
      <c r="O77" s="40"/>
      <c r="P77" s="40"/>
      <c r="Q77" s="40">
        <f t="shared" si="22"/>
        <v>18</v>
      </c>
      <c r="R77" s="40"/>
      <c r="S77" s="40"/>
      <c r="T77" s="40"/>
      <c r="U77" s="40"/>
      <c r="V77" s="40">
        <f t="shared" si="23"/>
        <v>5</v>
      </c>
      <c r="W77" s="40"/>
      <c r="X77" s="40"/>
      <c r="Y77" s="40"/>
      <c r="Z77" s="40"/>
      <c r="AA77" s="40">
        <f t="shared" si="24"/>
        <v>4</v>
      </c>
      <c r="AB77" s="40"/>
      <c r="AC77" s="40"/>
      <c r="AD77" s="40"/>
      <c r="AE77" s="40"/>
      <c r="AF77" s="40">
        <f t="shared" si="25"/>
        <v>4</v>
      </c>
      <c r="AG77" s="40"/>
      <c r="AH77" s="40"/>
      <c r="AI77" s="40"/>
      <c r="AJ77" s="40"/>
      <c r="AK77" s="40">
        <f t="shared" si="26"/>
        <v>5</v>
      </c>
      <c r="AL77" s="40"/>
      <c r="AM77" s="40"/>
      <c r="AN77" s="40"/>
      <c r="AO77" s="40"/>
      <c r="AP77" s="40">
        <f t="shared" si="27"/>
        <v>4</v>
      </c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</row>
    <row r="78" ht="14.25" customHeight="1">
      <c r="A78" s="41"/>
      <c r="B78" s="51" t="s">
        <v>3</v>
      </c>
      <c r="C78" s="40"/>
      <c r="D78" s="40"/>
      <c r="E78" s="40"/>
      <c r="F78" s="40"/>
      <c r="G78" s="40">
        <f t="shared" si="20"/>
        <v>0</v>
      </c>
      <c r="H78" s="40"/>
      <c r="I78" s="40"/>
      <c r="J78" s="40"/>
      <c r="K78" s="40"/>
      <c r="L78" s="40">
        <f t="shared" si="21"/>
        <v>4</v>
      </c>
      <c r="M78" s="40"/>
      <c r="N78" s="40"/>
      <c r="O78" s="40"/>
      <c r="P78" s="40"/>
      <c r="Q78" s="40">
        <f t="shared" si="22"/>
        <v>10</v>
      </c>
      <c r="R78" s="40"/>
      <c r="S78" s="40"/>
      <c r="T78" s="40"/>
      <c r="U78" s="40"/>
      <c r="V78" s="40">
        <f t="shared" si="23"/>
        <v>4</v>
      </c>
      <c r="W78" s="40"/>
      <c r="X78" s="40"/>
      <c r="Y78" s="40"/>
      <c r="Z78" s="40"/>
      <c r="AA78" s="40">
        <f t="shared" si="24"/>
        <v>4</v>
      </c>
      <c r="AB78" s="40"/>
      <c r="AC78" s="40"/>
      <c r="AD78" s="40"/>
      <c r="AE78" s="40"/>
      <c r="AF78" s="40">
        <f t="shared" si="25"/>
        <v>4</v>
      </c>
      <c r="AG78" s="40"/>
      <c r="AH78" s="40"/>
      <c r="AI78" s="40"/>
      <c r="AJ78" s="40"/>
      <c r="AK78" s="40">
        <f t="shared" si="26"/>
        <v>1</v>
      </c>
      <c r="AL78" s="40"/>
      <c r="AM78" s="40"/>
      <c r="AN78" s="40"/>
      <c r="AO78" s="40"/>
      <c r="AP78" s="40">
        <f t="shared" si="27"/>
        <v>9</v>
      </c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</row>
    <row r="79" ht="14.25" customHeight="1">
      <c r="A79" s="41"/>
      <c r="B79" s="51" t="s">
        <v>13</v>
      </c>
      <c r="C79" s="40"/>
      <c r="D79" s="40"/>
      <c r="E79" s="40"/>
      <c r="F79" s="40"/>
      <c r="G79" s="40">
        <f t="shared" si="20"/>
        <v>8</v>
      </c>
      <c r="H79" s="40"/>
      <c r="I79" s="40"/>
      <c r="J79" s="40"/>
      <c r="K79" s="40"/>
      <c r="L79" s="40">
        <f t="shared" si="21"/>
        <v>4</v>
      </c>
      <c r="M79" s="40"/>
      <c r="N79" s="40"/>
      <c r="O79" s="40"/>
      <c r="P79" s="40"/>
      <c r="Q79" s="40">
        <f t="shared" si="22"/>
        <v>0</v>
      </c>
      <c r="R79" s="40"/>
      <c r="S79" s="40"/>
      <c r="T79" s="40"/>
      <c r="U79" s="40"/>
      <c r="V79" s="40">
        <f t="shared" si="23"/>
        <v>5</v>
      </c>
      <c r="W79" s="40"/>
      <c r="X79" s="40"/>
      <c r="Y79" s="40"/>
      <c r="Z79" s="40"/>
      <c r="AA79" s="40">
        <f t="shared" si="24"/>
        <v>4</v>
      </c>
      <c r="AB79" s="40"/>
      <c r="AC79" s="40"/>
      <c r="AD79" s="40"/>
      <c r="AE79" s="40"/>
      <c r="AF79" s="40">
        <f t="shared" si="25"/>
        <v>4</v>
      </c>
      <c r="AG79" s="40"/>
      <c r="AH79" s="40"/>
      <c r="AI79" s="40"/>
      <c r="AJ79" s="40"/>
      <c r="AK79" s="40">
        <f t="shared" si="26"/>
        <v>5</v>
      </c>
      <c r="AL79" s="40"/>
      <c r="AM79" s="40"/>
      <c r="AN79" s="40"/>
      <c r="AO79" s="40"/>
      <c r="AP79" s="40">
        <f t="shared" si="27"/>
        <v>9</v>
      </c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</row>
    <row r="80" ht="14.25" customHeight="1">
      <c r="A80" s="41"/>
      <c r="B80" s="51" t="s">
        <v>14</v>
      </c>
      <c r="C80" s="40"/>
      <c r="D80" s="40"/>
      <c r="E80" s="40"/>
      <c r="F80" s="40"/>
      <c r="G80" s="40">
        <f t="shared" si="20"/>
        <v>0</v>
      </c>
      <c r="H80" s="40"/>
      <c r="I80" s="40"/>
      <c r="J80" s="40"/>
      <c r="K80" s="40"/>
      <c r="L80" s="40">
        <f t="shared" si="21"/>
        <v>10</v>
      </c>
      <c r="M80" s="40"/>
      <c r="N80" s="40"/>
      <c r="O80" s="40"/>
      <c r="P80" s="40"/>
      <c r="Q80" s="40">
        <f t="shared" si="22"/>
        <v>0</v>
      </c>
      <c r="R80" s="40"/>
      <c r="S80" s="40"/>
      <c r="T80" s="40"/>
      <c r="U80" s="40"/>
      <c r="V80" s="40">
        <f t="shared" si="23"/>
        <v>5</v>
      </c>
      <c r="W80" s="40"/>
      <c r="X80" s="40"/>
      <c r="Y80" s="40"/>
      <c r="Z80" s="40"/>
      <c r="AA80" s="40">
        <f t="shared" si="24"/>
        <v>5</v>
      </c>
      <c r="AB80" s="40"/>
      <c r="AC80" s="40"/>
      <c r="AD80" s="40"/>
      <c r="AE80" s="40"/>
      <c r="AF80" s="40">
        <f t="shared" si="25"/>
        <v>4</v>
      </c>
      <c r="AG80" s="40"/>
      <c r="AH80" s="40"/>
      <c r="AI80" s="40"/>
      <c r="AJ80" s="40"/>
      <c r="AK80" s="40">
        <f t="shared" si="26"/>
        <v>1</v>
      </c>
      <c r="AL80" s="40"/>
      <c r="AM80" s="40"/>
      <c r="AN80" s="40"/>
      <c r="AO80" s="40"/>
      <c r="AP80" s="40">
        <f t="shared" si="27"/>
        <v>10</v>
      </c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</row>
    <row r="81" ht="14.25" customHeight="1">
      <c r="A81" s="41"/>
      <c r="B81" s="51" t="s">
        <v>6</v>
      </c>
      <c r="C81" s="40"/>
      <c r="D81" s="40"/>
      <c r="E81" s="40"/>
      <c r="F81" s="40"/>
      <c r="G81" s="40">
        <f t="shared" si="20"/>
        <v>10</v>
      </c>
      <c r="H81" s="40"/>
      <c r="I81" s="40"/>
      <c r="J81" s="40"/>
      <c r="K81" s="40"/>
      <c r="L81" s="40">
        <f t="shared" si="21"/>
        <v>10</v>
      </c>
      <c r="M81" s="40"/>
      <c r="N81" s="40"/>
      <c r="O81" s="40"/>
      <c r="P81" s="40"/>
      <c r="Q81" s="40">
        <f t="shared" si="22"/>
        <v>0</v>
      </c>
      <c r="R81" s="40"/>
      <c r="S81" s="40"/>
      <c r="T81" s="40"/>
      <c r="U81" s="40"/>
      <c r="V81" s="40">
        <f t="shared" si="23"/>
        <v>10</v>
      </c>
      <c r="W81" s="40"/>
      <c r="X81" s="40"/>
      <c r="Y81" s="40"/>
      <c r="Z81" s="40"/>
      <c r="AA81" s="40">
        <f t="shared" si="24"/>
        <v>4</v>
      </c>
      <c r="AB81" s="40"/>
      <c r="AC81" s="40"/>
      <c r="AD81" s="40"/>
      <c r="AE81" s="40"/>
      <c r="AF81" s="40">
        <f t="shared" si="25"/>
        <v>4</v>
      </c>
      <c r="AG81" s="40"/>
      <c r="AH81" s="40"/>
      <c r="AI81" s="40"/>
      <c r="AJ81" s="40"/>
      <c r="AK81" s="40">
        <f t="shared" si="26"/>
        <v>1</v>
      </c>
      <c r="AL81" s="40"/>
      <c r="AM81" s="40"/>
      <c r="AN81" s="40"/>
      <c r="AO81" s="40"/>
      <c r="AP81" s="40">
        <f t="shared" si="27"/>
        <v>5</v>
      </c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</row>
    <row r="82" ht="14.25" customHeight="1">
      <c r="A82" s="41"/>
      <c r="B82" s="51" t="s">
        <v>5</v>
      </c>
      <c r="C82" s="40"/>
      <c r="D82" s="40"/>
      <c r="E82" s="40"/>
      <c r="F82" s="40"/>
      <c r="G82" s="40">
        <f t="shared" si="20"/>
        <v>8</v>
      </c>
      <c r="H82" s="40"/>
      <c r="I82" s="40"/>
      <c r="J82" s="40"/>
      <c r="K82" s="40"/>
      <c r="L82" s="40">
        <f t="shared" si="21"/>
        <v>4</v>
      </c>
      <c r="M82" s="40"/>
      <c r="N82" s="40"/>
      <c r="O82" s="40"/>
      <c r="P82" s="40"/>
      <c r="Q82" s="40">
        <f t="shared" si="22"/>
        <v>8</v>
      </c>
      <c r="R82" s="40"/>
      <c r="S82" s="40"/>
      <c r="T82" s="40"/>
      <c r="U82" s="40"/>
      <c r="V82" s="40">
        <f t="shared" si="23"/>
        <v>10</v>
      </c>
      <c r="W82" s="40"/>
      <c r="X82" s="40"/>
      <c r="Y82" s="40"/>
      <c r="Z82" s="40"/>
      <c r="AA82" s="40">
        <f t="shared" si="24"/>
        <v>10</v>
      </c>
      <c r="AB82" s="40"/>
      <c r="AC82" s="40"/>
      <c r="AD82" s="40"/>
      <c r="AE82" s="40"/>
      <c r="AF82" s="40">
        <f t="shared" si="25"/>
        <v>4</v>
      </c>
      <c r="AG82" s="40"/>
      <c r="AH82" s="40"/>
      <c r="AI82" s="40"/>
      <c r="AJ82" s="40"/>
      <c r="AK82" s="40">
        <f t="shared" si="26"/>
        <v>1</v>
      </c>
      <c r="AL82" s="40"/>
      <c r="AM82" s="40"/>
      <c r="AN82" s="40"/>
      <c r="AO82" s="40"/>
      <c r="AP82" s="40">
        <f t="shared" si="27"/>
        <v>9</v>
      </c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</row>
    <row r="83" ht="14.25" customHeight="1">
      <c r="A83" s="41"/>
      <c r="B83" s="51" t="s">
        <v>4</v>
      </c>
      <c r="C83" s="40"/>
      <c r="D83" s="40"/>
      <c r="E83" s="40"/>
      <c r="F83" s="40"/>
      <c r="G83" s="40">
        <f t="shared" si="20"/>
        <v>8</v>
      </c>
      <c r="H83" s="40"/>
      <c r="I83" s="40"/>
      <c r="J83" s="40"/>
      <c r="K83" s="40"/>
      <c r="L83" s="40">
        <f t="shared" si="21"/>
        <v>10</v>
      </c>
      <c r="M83" s="40"/>
      <c r="N83" s="40"/>
      <c r="O83" s="40"/>
      <c r="P83" s="40"/>
      <c r="Q83" s="40">
        <f t="shared" si="22"/>
        <v>6</v>
      </c>
      <c r="R83" s="40"/>
      <c r="S83" s="40"/>
      <c r="T83" s="40"/>
      <c r="U83" s="40"/>
      <c r="V83" s="40">
        <f t="shared" si="23"/>
        <v>5</v>
      </c>
      <c r="W83" s="40"/>
      <c r="X83" s="40"/>
      <c r="Y83" s="40"/>
      <c r="Z83" s="40"/>
      <c r="AA83" s="40">
        <f t="shared" si="24"/>
        <v>4</v>
      </c>
      <c r="AB83" s="40"/>
      <c r="AC83" s="40"/>
      <c r="AD83" s="40"/>
      <c r="AE83" s="40"/>
      <c r="AF83" s="40">
        <f t="shared" si="25"/>
        <v>4</v>
      </c>
      <c r="AG83" s="40"/>
      <c r="AH83" s="40"/>
      <c r="AI83" s="40"/>
      <c r="AJ83" s="40"/>
      <c r="AK83" s="40">
        <f t="shared" si="26"/>
        <v>1</v>
      </c>
      <c r="AL83" s="40"/>
      <c r="AM83" s="40"/>
      <c r="AN83" s="40"/>
      <c r="AO83" s="40"/>
      <c r="AP83" s="40">
        <f t="shared" si="27"/>
        <v>9</v>
      </c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</row>
    <row r="84" ht="14.25" customHeight="1">
      <c r="A84" s="41"/>
      <c r="B84" s="51" t="s">
        <v>18</v>
      </c>
      <c r="C84" s="40"/>
      <c r="D84" s="40"/>
      <c r="E84" s="40"/>
      <c r="F84" s="40"/>
      <c r="G84" s="40">
        <f t="shared" si="20"/>
        <v>8</v>
      </c>
      <c r="H84" s="40"/>
      <c r="I84" s="40"/>
      <c r="J84" s="40"/>
      <c r="K84" s="40"/>
      <c r="L84" s="40">
        <f t="shared" si="21"/>
        <v>4</v>
      </c>
      <c r="M84" s="40"/>
      <c r="N84" s="40"/>
      <c r="O84" s="40"/>
      <c r="P84" s="40"/>
      <c r="Q84" s="40">
        <f t="shared" si="22"/>
        <v>0</v>
      </c>
      <c r="R84" s="40"/>
      <c r="S84" s="40"/>
      <c r="T84" s="40"/>
      <c r="U84" s="40"/>
      <c r="V84" s="40">
        <f t="shared" si="23"/>
        <v>5</v>
      </c>
      <c r="W84" s="40"/>
      <c r="X84" s="40"/>
      <c r="Y84" s="40"/>
      <c r="Z84" s="40"/>
      <c r="AA84" s="40">
        <f t="shared" si="24"/>
        <v>4</v>
      </c>
      <c r="AB84" s="40"/>
      <c r="AC84" s="40"/>
      <c r="AD84" s="40"/>
      <c r="AE84" s="40"/>
      <c r="AF84" s="40">
        <f t="shared" si="25"/>
        <v>4</v>
      </c>
      <c r="AG84" s="40"/>
      <c r="AH84" s="40"/>
      <c r="AI84" s="40"/>
      <c r="AJ84" s="40"/>
      <c r="AK84" s="40">
        <f t="shared" si="26"/>
        <v>1</v>
      </c>
      <c r="AL84" s="40"/>
      <c r="AM84" s="40"/>
      <c r="AN84" s="40"/>
      <c r="AO84" s="40"/>
      <c r="AP84" s="40">
        <f t="shared" si="27"/>
        <v>4</v>
      </c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</row>
    <row r="85" ht="14.25" customHeight="1">
      <c r="A85" s="41"/>
      <c r="B85" s="51" t="s">
        <v>2</v>
      </c>
      <c r="C85" s="40"/>
      <c r="D85" s="40"/>
      <c r="E85" s="40"/>
      <c r="F85" s="40"/>
      <c r="G85" s="40">
        <f t="shared" si="20"/>
        <v>8</v>
      </c>
      <c r="H85" s="40"/>
      <c r="I85" s="40"/>
      <c r="J85" s="40"/>
      <c r="K85" s="40"/>
      <c r="L85" s="40">
        <f t="shared" si="21"/>
        <v>4</v>
      </c>
      <c r="M85" s="40"/>
      <c r="N85" s="40"/>
      <c r="O85" s="40"/>
      <c r="P85" s="40"/>
      <c r="Q85" s="40">
        <f t="shared" si="22"/>
        <v>8</v>
      </c>
      <c r="R85" s="40"/>
      <c r="S85" s="40"/>
      <c r="T85" s="40"/>
      <c r="U85" s="40"/>
      <c r="V85" s="40">
        <f t="shared" si="23"/>
        <v>5</v>
      </c>
      <c r="W85" s="40"/>
      <c r="X85" s="40"/>
      <c r="Y85" s="40"/>
      <c r="Z85" s="40"/>
      <c r="AA85" s="40">
        <f t="shared" si="24"/>
        <v>5</v>
      </c>
      <c r="AB85" s="40"/>
      <c r="AC85" s="40"/>
      <c r="AD85" s="40"/>
      <c r="AE85" s="40"/>
      <c r="AF85" s="40">
        <f t="shared" si="25"/>
        <v>4</v>
      </c>
      <c r="AG85" s="40"/>
      <c r="AH85" s="40"/>
      <c r="AI85" s="40"/>
      <c r="AJ85" s="40"/>
      <c r="AK85" s="40">
        <f t="shared" si="26"/>
        <v>4</v>
      </c>
      <c r="AL85" s="40"/>
      <c r="AM85" s="40"/>
      <c r="AN85" s="40"/>
      <c r="AO85" s="40"/>
      <c r="AP85" s="40">
        <f t="shared" si="27"/>
        <v>4</v>
      </c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</row>
    <row r="86" ht="14.25" customHeight="1">
      <c r="A86" s="41"/>
      <c r="B86" s="51" t="s">
        <v>15</v>
      </c>
      <c r="C86" s="40"/>
      <c r="D86" s="40"/>
      <c r="E86" s="40"/>
      <c r="F86" s="40"/>
      <c r="G86" s="40">
        <f t="shared" si="20"/>
        <v>0</v>
      </c>
      <c r="H86" s="40"/>
      <c r="I86" s="40"/>
      <c r="J86" s="40"/>
      <c r="K86" s="40"/>
      <c r="L86" s="40">
        <f t="shared" si="21"/>
        <v>4</v>
      </c>
      <c r="M86" s="40"/>
      <c r="N86" s="40"/>
      <c r="O86" s="40"/>
      <c r="P86" s="40"/>
      <c r="Q86" s="40">
        <f t="shared" si="22"/>
        <v>18</v>
      </c>
      <c r="R86" s="40"/>
      <c r="S86" s="40"/>
      <c r="T86" s="40"/>
      <c r="U86" s="40"/>
      <c r="V86" s="40">
        <f t="shared" si="23"/>
        <v>4</v>
      </c>
      <c r="W86" s="40"/>
      <c r="X86" s="40"/>
      <c r="Y86" s="40"/>
      <c r="Z86" s="40"/>
      <c r="AA86" s="40">
        <f t="shared" si="24"/>
        <v>4</v>
      </c>
      <c r="AB86" s="40"/>
      <c r="AC86" s="40"/>
      <c r="AD86" s="40"/>
      <c r="AE86" s="40"/>
      <c r="AF86" s="40">
        <f t="shared" si="25"/>
        <v>1</v>
      </c>
      <c r="AG86" s="40"/>
      <c r="AH86" s="40"/>
      <c r="AI86" s="40"/>
      <c r="AJ86" s="40"/>
      <c r="AK86" s="40">
        <f t="shared" si="26"/>
        <v>2</v>
      </c>
      <c r="AL86" s="40"/>
      <c r="AM86" s="40"/>
      <c r="AN86" s="40"/>
      <c r="AO86" s="40"/>
      <c r="AP86" s="40">
        <f t="shared" si="27"/>
        <v>4</v>
      </c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</row>
    <row r="87" ht="14.25" customHeight="1">
      <c r="A87" s="41"/>
      <c r="B87" s="51" t="s">
        <v>12</v>
      </c>
      <c r="C87" s="40"/>
      <c r="D87" s="40"/>
      <c r="E87" s="40"/>
      <c r="F87" s="40"/>
      <c r="G87" s="40">
        <f t="shared" si="20"/>
        <v>8</v>
      </c>
      <c r="H87" s="40"/>
      <c r="I87" s="40"/>
      <c r="J87" s="40"/>
      <c r="K87" s="40"/>
      <c r="L87" s="40">
        <f t="shared" si="21"/>
        <v>4</v>
      </c>
      <c r="M87" s="40"/>
      <c r="N87" s="40"/>
      <c r="O87" s="40"/>
      <c r="P87" s="40"/>
      <c r="Q87" s="40">
        <f t="shared" si="22"/>
        <v>8</v>
      </c>
      <c r="R87" s="40"/>
      <c r="S87" s="40"/>
      <c r="T87" s="40"/>
      <c r="U87" s="40"/>
      <c r="V87" s="40">
        <f t="shared" si="23"/>
        <v>4</v>
      </c>
      <c r="W87" s="40"/>
      <c r="X87" s="40"/>
      <c r="Y87" s="40"/>
      <c r="Z87" s="40"/>
      <c r="AA87" s="40">
        <f t="shared" si="24"/>
        <v>10</v>
      </c>
      <c r="AB87" s="40"/>
      <c r="AC87" s="40"/>
      <c r="AD87" s="40"/>
      <c r="AE87" s="40"/>
      <c r="AF87" s="40">
        <f t="shared" si="25"/>
        <v>4</v>
      </c>
      <c r="AG87" s="40"/>
      <c r="AH87" s="40"/>
      <c r="AI87" s="40"/>
      <c r="AJ87" s="40"/>
      <c r="AK87" s="40">
        <f t="shared" si="26"/>
        <v>4</v>
      </c>
      <c r="AL87" s="40"/>
      <c r="AM87" s="40"/>
      <c r="AN87" s="40"/>
      <c r="AO87" s="40"/>
      <c r="AP87" s="40">
        <f t="shared" si="27"/>
        <v>5</v>
      </c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</row>
    <row r="88" ht="14.25" customHeight="1">
      <c r="A88" s="41"/>
      <c r="B88" s="51" t="s">
        <v>8</v>
      </c>
      <c r="C88" s="40"/>
      <c r="D88" s="40"/>
      <c r="E88" s="40"/>
      <c r="F88" s="40"/>
      <c r="G88" s="40">
        <f t="shared" si="20"/>
        <v>0</v>
      </c>
      <c r="H88" s="40"/>
      <c r="I88" s="40"/>
      <c r="J88" s="40"/>
      <c r="K88" s="40"/>
      <c r="L88" s="40">
        <f t="shared" si="21"/>
        <v>1</v>
      </c>
      <c r="M88" s="40"/>
      <c r="N88" s="40"/>
      <c r="O88" s="40"/>
      <c r="P88" s="40"/>
      <c r="Q88" s="40">
        <f t="shared" si="22"/>
        <v>2</v>
      </c>
      <c r="R88" s="40"/>
      <c r="S88" s="40"/>
      <c r="T88" s="40"/>
      <c r="U88" s="40"/>
      <c r="V88" s="40">
        <f t="shared" si="23"/>
        <v>5</v>
      </c>
      <c r="W88" s="40"/>
      <c r="X88" s="40"/>
      <c r="Y88" s="40"/>
      <c r="Z88" s="40"/>
      <c r="AA88" s="40">
        <f t="shared" si="24"/>
        <v>1</v>
      </c>
      <c r="AB88" s="40"/>
      <c r="AC88" s="40"/>
      <c r="AD88" s="40"/>
      <c r="AE88" s="40"/>
      <c r="AF88" s="40">
        <f t="shared" si="25"/>
        <v>3</v>
      </c>
      <c r="AG88" s="40"/>
      <c r="AH88" s="40"/>
      <c r="AI88" s="40"/>
      <c r="AJ88" s="40"/>
      <c r="AK88" s="40">
        <f t="shared" si="26"/>
        <v>5</v>
      </c>
      <c r="AL88" s="40"/>
      <c r="AM88" s="40"/>
      <c r="AN88" s="40"/>
      <c r="AO88" s="40"/>
      <c r="AP88" s="40">
        <f t="shared" si="27"/>
        <v>4</v>
      </c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</row>
    <row r="89" ht="14.25" customHeight="1">
      <c r="A89" s="41"/>
      <c r="B89" s="51" t="s">
        <v>16</v>
      </c>
      <c r="C89" s="40"/>
      <c r="D89" s="40"/>
      <c r="E89" s="40"/>
      <c r="F89" s="40"/>
      <c r="G89" s="40">
        <f t="shared" si="20"/>
        <v>2</v>
      </c>
      <c r="H89" s="40"/>
      <c r="I89" s="40"/>
      <c r="J89" s="40"/>
      <c r="K89" s="40"/>
      <c r="L89" s="40">
        <f t="shared" si="21"/>
        <v>4</v>
      </c>
      <c r="M89" s="40"/>
      <c r="N89" s="40"/>
      <c r="O89" s="40"/>
      <c r="P89" s="40"/>
      <c r="Q89" s="40">
        <f t="shared" si="22"/>
        <v>0</v>
      </c>
      <c r="R89" s="40"/>
      <c r="S89" s="40"/>
      <c r="T89" s="40"/>
      <c r="U89" s="40"/>
      <c r="V89" s="40">
        <f t="shared" si="23"/>
        <v>5</v>
      </c>
      <c r="W89" s="40"/>
      <c r="X89" s="40"/>
      <c r="Y89" s="40"/>
      <c r="Z89" s="40"/>
      <c r="AA89" s="40">
        <f t="shared" si="24"/>
        <v>10</v>
      </c>
      <c r="AB89" s="40"/>
      <c r="AC89" s="40"/>
      <c r="AD89" s="40"/>
      <c r="AE89" s="40"/>
      <c r="AF89" s="40">
        <f t="shared" si="25"/>
        <v>4</v>
      </c>
      <c r="AG89" s="40"/>
      <c r="AH89" s="40"/>
      <c r="AI89" s="40"/>
      <c r="AJ89" s="40"/>
      <c r="AK89" s="40">
        <f t="shared" si="26"/>
        <v>2</v>
      </c>
      <c r="AL89" s="40"/>
      <c r="AM89" s="40"/>
      <c r="AN89" s="40"/>
      <c r="AO89" s="40"/>
      <c r="AP89" s="40">
        <f t="shared" si="27"/>
        <v>9</v>
      </c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</row>
    <row r="90" ht="14.25" customHeight="1">
      <c r="A90" s="41"/>
      <c r="B90" s="51" t="s">
        <v>11</v>
      </c>
      <c r="C90" s="40"/>
      <c r="D90" s="40"/>
      <c r="E90" s="40"/>
      <c r="F90" s="40"/>
      <c r="G90" s="40">
        <f t="shared" si="20"/>
        <v>0</v>
      </c>
      <c r="H90" s="40"/>
      <c r="I90" s="40"/>
      <c r="J90" s="40"/>
      <c r="K90" s="40"/>
      <c r="L90" s="40">
        <f t="shared" si="21"/>
        <v>3</v>
      </c>
      <c r="M90" s="40"/>
      <c r="N90" s="40"/>
      <c r="O90" s="40"/>
      <c r="P90" s="40"/>
      <c r="Q90" s="40">
        <f t="shared" si="22"/>
        <v>0</v>
      </c>
      <c r="R90" s="40"/>
      <c r="S90" s="40"/>
      <c r="T90" s="40"/>
      <c r="U90" s="40"/>
      <c r="V90" s="40">
        <f t="shared" si="23"/>
        <v>4</v>
      </c>
      <c r="W90" s="40"/>
      <c r="X90" s="40"/>
      <c r="Y90" s="40"/>
      <c r="Z90" s="40"/>
      <c r="AA90" s="40">
        <f t="shared" si="24"/>
        <v>4</v>
      </c>
      <c r="AB90" s="40"/>
      <c r="AC90" s="40"/>
      <c r="AD90" s="40"/>
      <c r="AE90" s="40"/>
      <c r="AF90" s="40">
        <f t="shared" si="25"/>
        <v>1</v>
      </c>
      <c r="AG90" s="40"/>
      <c r="AH90" s="40"/>
      <c r="AI90" s="40"/>
      <c r="AJ90" s="40"/>
      <c r="AK90" s="40">
        <f t="shared" si="26"/>
        <v>2</v>
      </c>
      <c r="AL90" s="40"/>
      <c r="AM90" s="40"/>
      <c r="AN90" s="40"/>
      <c r="AO90" s="40"/>
      <c r="AP90" s="40">
        <f t="shared" si="27"/>
        <v>10</v>
      </c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</row>
    <row r="91" ht="14.25" customHeight="1">
      <c r="A91" s="41"/>
      <c r="B91" s="51" t="s">
        <v>7</v>
      </c>
      <c r="C91" s="40"/>
      <c r="D91" s="40"/>
      <c r="E91" s="40"/>
      <c r="F91" s="40"/>
      <c r="G91" s="40">
        <f t="shared" si="20"/>
        <v>0</v>
      </c>
      <c r="H91" s="40"/>
      <c r="I91" s="40"/>
      <c r="J91" s="40"/>
      <c r="K91" s="40"/>
      <c r="L91" s="40">
        <f t="shared" si="21"/>
        <v>4</v>
      </c>
      <c r="M91" s="40"/>
      <c r="N91" s="40"/>
      <c r="O91" s="40"/>
      <c r="P91" s="40"/>
      <c r="Q91" s="40">
        <f t="shared" si="22"/>
        <v>18</v>
      </c>
      <c r="R91" s="40"/>
      <c r="S91" s="40"/>
      <c r="T91" s="40"/>
      <c r="U91" s="40"/>
      <c r="V91" s="40">
        <f t="shared" si="23"/>
        <v>5</v>
      </c>
      <c r="W91" s="40"/>
      <c r="X91" s="40"/>
      <c r="Y91" s="40"/>
      <c r="Z91" s="40"/>
      <c r="AA91" s="40">
        <f t="shared" si="24"/>
        <v>4</v>
      </c>
      <c r="AB91" s="40"/>
      <c r="AC91" s="40"/>
      <c r="AD91" s="40"/>
      <c r="AE91" s="40"/>
      <c r="AF91" s="40">
        <f t="shared" si="25"/>
        <v>4</v>
      </c>
      <c r="AG91" s="40"/>
      <c r="AH91" s="40"/>
      <c r="AI91" s="40"/>
      <c r="AJ91" s="40"/>
      <c r="AK91" s="40">
        <f t="shared" si="26"/>
        <v>4</v>
      </c>
      <c r="AL91" s="40"/>
      <c r="AM91" s="40"/>
      <c r="AN91" s="40"/>
      <c r="AO91" s="40"/>
      <c r="AP91" s="40">
        <f t="shared" si="27"/>
        <v>5</v>
      </c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</row>
    <row r="92" ht="14.25" customHeight="1">
      <c r="A92" s="41"/>
      <c r="B92" s="51" t="s">
        <v>19</v>
      </c>
      <c r="C92" s="40"/>
      <c r="D92" s="40"/>
      <c r="E92" s="40"/>
      <c r="F92" s="40"/>
      <c r="G92" s="40">
        <f t="shared" si="20"/>
        <v>8</v>
      </c>
      <c r="H92" s="40"/>
      <c r="I92" s="40"/>
      <c r="J92" s="40"/>
      <c r="K92" s="40"/>
      <c r="L92" s="40">
        <f t="shared" si="21"/>
        <v>4</v>
      </c>
      <c r="M92" s="40"/>
      <c r="N92" s="40"/>
      <c r="O92" s="40"/>
      <c r="P92" s="40"/>
      <c r="Q92" s="40">
        <f t="shared" si="22"/>
        <v>0</v>
      </c>
      <c r="R92" s="40"/>
      <c r="S92" s="40"/>
      <c r="T92" s="40"/>
      <c r="U92" s="40"/>
      <c r="V92" s="40">
        <f t="shared" si="23"/>
        <v>5</v>
      </c>
      <c r="W92" s="40"/>
      <c r="X92" s="40"/>
      <c r="Y92" s="40"/>
      <c r="Z92" s="40"/>
      <c r="AA92" s="40">
        <f t="shared" si="24"/>
        <v>0</v>
      </c>
      <c r="AB92" s="40"/>
      <c r="AC92" s="40"/>
      <c r="AD92" s="40"/>
      <c r="AE92" s="40"/>
      <c r="AF92" s="40">
        <f t="shared" si="25"/>
        <v>5</v>
      </c>
      <c r="AG92" s="40"/>
      <c r="AH92" s="40"/>
      <c r="AI92" s="40"/>
      <c r="AJ92" s="40"/>
      <c r="AK92" s="40">
        <f t="shared" si="26"/>
        <v>9</v>
      </c>
      <c r="AL92" s="40"/>
      <c r="AM92" s="40"/>
      <c r="AN92" s="40"/>
      <c r="AO92" s="40"/>
      <c r="AP92" s="40">
        <f t="shared" si="27"/>
        <v>4</v>
      </c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</row>
    <row r="93" ht="14.25" customHeight="1">
      <c r="A93" s="41"/>
      <c r="B93" s="51" t="s">
        <v>20</v>
      </c>
      <c r="C93" s="40"/>
      <c r="D93" s="40"/>
      <c r="E93" s="40"/>
      <c r="F93" s="40"/>
      <c r="G93" s="40">
        <f t="shared" si="20"/>
        <v>0</v>
      </c>
      <c r="H93" s="40"/>
      <c r="I93" s="40"/>
      <c r="J93" s="40"/>
      <c r="K93" s="40"/>
      <c r="L93" s="40">
        <f t="shared" si="21"/>
        <v>7</v>
      </c>
      <c r="M93" s="40"/>
      <c r="N93" s="40"/>
      <c r="O93" s="40"/>
      <c r="P93" s="40"/>
      <c r="Q93" s="40">
        <f t="shared" si="22"/>
        <v>0</v>
      </c>
      <c r="R93" s="40"/>
      <c r="S93" s="40"/>
      <c r="T93" s="40"/>
      <c r="U93" s="40"/>
      <c r="V93" s="40">
        <f t="shared" si="23"/>
        <v>4</v>
      </c>
      <c r="W93" s="40"/>
      <c r="X93" s="40"/>
      <c r="Y93" s="40"/>
      <c r="Z93" s="40"/>
      <c r="AA93" s="40">
        <f t="shared" si="24"/>
        <v>10</v>
      </c>
      <c r="AB93" s="40"/>
      <c r="AC93" s="40"/>
      <c r="AD93" s="40"/>
      <c r="AE93" s="40"/>
      <c r="AF93" s="40">
        <f t="shared" si="25"/>
        <v>0</v>
      </c>
      <c r="AG93" s="40"/>
      <c r="AH93" s="40"/>
      <c r="AI93" s="40"/>
      <c r="AJ93" s="40"/>
      <c r="AK93" s="40">
        <f t="shared" si="26"/>
        <v>5</v>
      </c>
      <c r="AL93" s="40"/>
      <c r="AM93" s="40"/>
      <c r="AN93" s="40"/>
      <c r="AO93" s="40"/>
      <c r="AP93" s="40">
        <f t="shared" si="27"/>
        <v>9</v>
      </c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</row>
    <row r="94" ht="14.25" customHeight="1">
      <c r="A94" s="41"/>
      <c r="B94" s="51" t="s">
        <v>21</v>
      </c>
      <c r="C94" s="40"/>
      <c r="D94" s="40"/>
      <c r="E94" s="40"/>
      <c r="F94" s="40"/>
      <c r="G94" s="40">
        <f t="shared" si="20"/>
        <v>0</v>
      </c>
      <c r="H94" s="40"/>
      <c r="I94" s="40"/>
      <c r="J94" s="40"/>
      <c r="K94" s="40"/>
      <c r="L94" s="40">
        <f t="shared" si="21"/>
        <v>4</v>
      </c>
      <c r="M94" s="40"/>
      <c r="N94" s="40"/>
      <c r="O94" s="40"/>
      <c r="P94" s="40"/>
      <c r="Q94" s="40">
        <f t="shared" si="22"/>
        <v>18</v>
      </c>
      <c r="R94" s="40"/>
      <c r="S94" s="40"/>
      <c r="T94" s="40"/>
      <c r="U94" s="40"/>
      <c r="V94" s="40">
        <f t="shared" si="23"/>
        <v>4</v>
      </c>
      <c r="W94" s="40"/>
      <c r="X94" s="40"/>
      <c r="Y94" s="40"/>
      <c r="Z94" s="40"/>
      <c r="AA94" s="40">
        <f t="shared" si="24"/>
        <v>4</v>
      </c>
      <c r="AB94" s="40"/>
      <c r="AC94" s="40"/>
      <c r="AD94" s="40"/>
      <c r="AE94" s="40"/>
      <c r="AF94" s="40">
        <f t="shared" si="25"/>
        <v>5</v>
      </c>
      <c r="AG94" s="40"/>
      <c r="AH94" s="40"/>
      <c r="AI94" s="40"/>
      <c r="AJ94" s="40"/>
      <c r="AK94" s="40">
        <f t="shared" si="26"/>
        <v>4</v>
      </c>
      <c r="AL94" s="40"/>
      <c r="AM94" s="40"/>
      <c r="AN94" s="40"/>
      <c r="AO94" s="40"/>
      <c r="AP94" s="40">
        <f t="shared" si="27"/>
        <v>9</v>
      </c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</row>
    <row r="95" ht="14.25" customHeight="1">
      <c r="A95" s="41"/>
      <c r="B95" s="51" t="s">
        <v>22</v>
      </c>
      <c r="C95" s="40"/>
      <c r="D95" s="40"/>
      <c r="E95" s="40"/>
      <c r="F95" s="40"/>
      <c r="G95" s="40">
        <f t="shared" si="20"/>
        <v>8</v>
      </c>
      <c r="H95" s="40"/>
      <c r="I95" s="40"/>
      <c r="J95" s="40"/>
      <c r="K95" s="40"/>
      <c r="L95" s="40">
        <f t="shared" si="21"/>
        <v>4</v>
      </c>
      <c r="M95" s="40"/>
      <c r="N95" s="40"/>
      <c r="O95" s="40"/>
      <c r="P95" s="40"/>
      <c r="Q95" s="40">
        <f t="shared" si="22"/>
        <v>8</v>
      </c>
      <c r="R95" s="40"/>
      <c r="S95" s="40"/>
      <c r="T95" s="40"/>
      <c r="U95" s="40"/>
      <c r="V95" s="40">
        <f t="shared" si="23"/>
        <v>5</v>
      </c>
      <c r="W95" s="40"/>
      <c r="X95" s="40"/>
      <c r="Y95" s="40"/>
      <c r="Z95" s="40"/>
      <c r="AA95" s="40">
        <f t="shared" si="24"/>
        <v>4</v>
      </c>
      <c r="AB95" s="40"/>
      <c r="AC95" s="40"/>
      <c r="AD95" s="40"/>
      <c r="AE95" s="40"/>
      <c r="AF95" s="40">
        <f t="shared" si="25"/>
        <v>4</v>
      </c>
      <c r="AG95" s="40"/>
      <c r="AH95" s="40"/>
      <c r="AI95" s="40"/>
      <c r="AJ95" s="40"/>
      <c r="AK95" s="40">
        <f t="shared" si="26"/>
        <v>4</v>
      </c>
      <c r="AL95" s="40"/>
      <c r="AM95" s="40"/>
      <c r="AN95" s="40"/>
      <c r="AO95" s="40"/>
      <c r="AP95" s="40">
        <f t="shared" si="27"/>
        <v>4</v>
      </c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</row>
    <row r="96" ht="14.25" customHeight="1">
      <c r="A96" s="41"/>
      <c r="B96" s="2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</row>
    <row r="97" ht="14.25" customHeight="1">
      <c r="A97" s="41"/>
      <c r="B97" s="40"/>
      <c r="C97" s="40"/>
      <c r="D97" s="40" t="s">
        <v>108</v>
      </c>
      <c r="E97" s="40"/>
      <c r="F97" s="40" t="s">
        <v>109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</row>
    <row r="98" ht="14.25" customHeight="1">
      <c r="A98" s="41"/>
      <c r="B98" s="63" t="s">
        <v>9</v>
      </c>
      <c r="C98" s="57" t="str">
        <f>VLOOKUP($B$98,Form_PrimeiraFase!$C$2:$FB$69,156,FALSE)</f>
        <v>Paris Saint-Germain</v>
      </c>
      <c r="D98" s="40">
        <f t="shared" ref="D98:D118" si="28">COUNTIF($C$72:$AN$72,C98)</f>
        <v>1</v>
      </c>
      <c r="E98" s="40"/>
      <c r="F98" s="69">
        <f>G75+L75+Q75+V75+AA75+AF75+AK75+AP75+IF(SUM($D$98:$D$118)=1,2*D98*Pesos!$L$22,D98*Pesos!$L$22)</f>
        <v>43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</row>
    <row r="99" ht="14.25" customHeight="1">
      <c r="A99" s="41"/>
      <c r="B99" s="51" t="s">
        <v>10</v>
      </c>
      <c r="C99" s="57" t="str">
        <f>VLOOKUP($B$99,Form_PrimeiraFase!$C$2:$FB$69,156,FALSE)</f>
        <v>Liverpool</v>
      </c>
      <c r="D99" s="40">
        <f t="shared" si="28"/>
        <v>1</v>
      </c>
      <c r="E99" s="40"/>
      <c r="F99" s="69">
        <f>G76+L76+Q76+V76+AA76+AF76+AK76+AP76+IF(SUM($D$98:$D$118)=1,2*D99*Pesos!$L$22,D99*Pesos!$L$22)</f>
        <v>41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</row>
    <row r="100" ht="14.25" customHeight="1">
      <c r="A100" s="41"/>
      <c r="B100" s="51" t="s">
        <v>17</v>
      </c>
      <c r="C100" s="57" t="str">
        <f>VLOOKUP($B$100,Form_PrimeiraFase!$C$2:$FB$69,156,FALSE)</f>
        <v>Real Madrid</v>
      </c>
      <c r="D100" s="40">
        <f t="shared" si="28"/>
        <v>1</v>
      </c>
      <c r="E100" s="40"/>
      <c r="F100" s="69">
        <f>G77+L77+Q77+V77+AA77+AF77+AK77+AP77+IF(SUM($D$98:$D$118)=1,2*D100*Pesos!$L$22,D100*Pesos!$L$22)</f>
        <v>56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</row>
    <row r="101" ht="14.25" customHeight="1">
      <c r="A101" s="41"/>
      <c r="B101" s="51" t="s">
        <v>3</v>
      </c>
      <c r="C101" s="57" t="str">
        <f>VLOOKUP($B$101,Form_PrimeiraFase!$C$2:$FB$69,156,FALSE)</f>
        <v>Barcelona</v>
      </c>
      <c r="D101" s="40">
        <f t="shared" si="28"/>
        <v>1</v>
      </c>
      <c r="E101" s="40"/>
      <c r="F101" s="69">
        <f>G78+L78+Q78+V78+AA78+AF78+AK78+AP78+IF(SUM($D$98:$D$118)=1,2*D101*Pesos!$L$22,D101*Pesos!$L$22)</f>
        <v>40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</row>
    <row r="102" ht="14.25" customHeight="1">
      <c r="A102" s="41"/>
      <c r="B102" s="51" t="s">
        <v>13</v>
      </c>
      <c r="C102" s="57" t="str">
        <f>VLOOKUP($B$102,Form_PrimeiraFase!$C$2:$FB$69,156,FALSE)</f>
        <v>Barcelona</v>
      </c>
      <c r="D102" s="40">
        <f t="shared" si="28"/>
        <v>1</v>
      </c>
      <c r="E102" s="40"/>
      <c r="F102" s="69">
        <f>G79+L79+Q79+V79+AA79+AF79+AK79+AP79+IF(SUM($D$98:$D$118)=1,2*D102*Pesos!$L$22,D102*Pesos!$L$22)</f>
        <v>43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</row>
    <row r="103" ht="14.25" customHeight="1">
      <c r="A103" s="41"/>
      <c r="B103" s="51" t="s">
        <v>14</v>
      </c>
      <c r="C103" s="57" t="str">
        <f>VLOOKUP($B$103,Form_PrimeiraFase!$C$2:$FB$69,156,FALSE)</f>
        <v>Barcelona</v>
      </c>
      <c r="D103" s="40">
        <f t="shared" si="28"/>
        <v>1</v>
      </c>
      <c r="E103" s="40"/>
      <c r="F103" s="69">
        <f>G80+L80+Q80+V80+AA80+AF80+AK80+AP80+IF(SUM($D$98:$D$118)=1,2*D103*Pesos!$L$22,D103*Pesos!$L$22)</f>
        <v>39</v>
      </c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</row>
    <row r="104" ht="14.25" customHeight="1">
      <c r="A104" s="41"/>
      <c r="B104" s="51" t="s">
        <v>6</v>
      </c>
      <c r="C104" s="57" t="str">
        <f>VLOOKUP($B$104,Form_PrimeiraFase!$C$2:$FB$69,156,FALSE)</f>
        <v>Barcelona</v>
      </c>
      <c r="D104" s="40">
        <f t="shared" si="28"/>
        <v>1</v>
      </c>
      <c r="E104" s="40"/>
      <c r="F104" s="69">
        <f>G81+L81+Q81+V81+AA81+AF81+AK81+AP81+IF(SUM($D$98:$D$118)=1,2*D104*Pesos!$L$22,D104*Pesos!$L$22)</f>
        <v>48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</row>
    <row r="105" ht="14.25" customHeight="1">
      <c r="A105" s="41"/>
      <c r="B105" s="51" t="s">
        <v>5</v>
      </c>
      <c r="C105" s="57" t="str">
        <f>VLOOKUP($B$105,Form_PrimeiraFase!$C$2:$FB$69,156,FALSE)</f>
        <v>Liverpool</v>
      </c>
      <c r="D105" s="40">
        <f t="shared" si="28"/>
        <v>1</v>
      </c>
      <c r="E105" s="40"/>
      <c r="F105" s="69">
        <f>G82+L82+Q82+V82+AA82+AF82+AK82+AP82+IF(SUM($D$98:$D$118)=1,2*D105*Pesos!$L$22,D105*Pesos!$L$22)</f>
        <v>58</v>
      </c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</row>
    <row r="106" ht="14.25" customHeight="1">
      <c r="A106" s="41"/>
      <c r="B106" s="51" t="s">
        <v>4</v>
      </c>
      <c r="C106" s="57" t="str">
        <f>VLOOKUP($B$106,Form_PrimeiraFase!$C$2:$FB$69,156,FALSE)</f>
        <v>Barcelona</v>
      </c>
      <c r="D106" s="40">
        <f t="shared" si="28"/>
        <v>1</v>
      </c>
      <c r="E106" s="40"/>
      <c r="F106" s="69">
        <f>G83+L83+Q83+V83+AA83+AF83+AK83+AP83+IF(SUM($D$98:$D$118)=1,2*D106*Pesos!$L$22,D106*Pesos!$L$22)</f>
        <v>51</v>
      </c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</row>
    <row r="107" ht="14.25" customHeight="1">
      <c r="A107" s="41"/>
      <c r="B107" s="51" t="s">
        <v>18</v>
      </c>
      <c r="C107" s="57" t="str">
        <f>VLOOKUP($B$107,Form_PrimeiraFase!$C$2:$FB$69,156,FALSE)</f>
        <v>Barcelona</v>
      </c>
      <c r="D107" s="40">
        <f t="shared" si="28"/>
        <v>1</v>
      </c>
      <c r="E107" s="40"/>
      <c r="F107" s="69">
        <f>G84+L84+Q84+V84+AA84+AF84+AK84+AP84+IF(SUM($D$98:$D$118)=1,2*D107*Pesos!$L$22,D107*Pesos!$L$22)</f>
        <v>34</v>
      </c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</row>
    <row r="108" ht="14.25" customHeight="1">
      <c r="A108" s="41"/>
      <c r="B108" s="51" t="s">
        <v>2</v>
      </c>
      <c r="C108" s="57" t="str">
        <f>VLOOKUP($B$108,Form_PrimeiraFase!$C$2:$FB$69,156,FALSE)</f>
        <v>Real Madrid</v>
      </c>
      <c r="D108" s="40">
        <f t="shared" si="28"/>
        <v>1</v>
      </c>
      <c r="E108" s="40"/>
      <c r="F108" s="69">
        <f>G85+L85+Q85+V85+AA85+AF85+AK85+AP85+IF(SUM($D$98:$D$118)=1,2*D108*Pesos!$L$22,D108*Pesos!$L$22)</f>
        <v>46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</row>
    <row r="109" ht="14.25" customHeight="1">
      <c r="A109" s="41"/>
      <c r="B109" s="51" t="s">
        <v>15</v>
      </c>
      <c r="C109" s="57" t="str">
        <f>VLOOKUP($B$109,Form_PrimeiraFase!$C$2:$FB$69,156,FALSE)</f>
        <v>Barcelona</v>
      </c>
      <c r="D109" s="40">
        <f t="shared" si="28"/>
        <v>1</v>
      </c>
      <c r="E109" s="40"/>
      <c r="F109" s="69">
        <f>G86+L86+Q86+V86+AA86+AF86+AK86+AP86+IF(SUM($D$98:$D$118)=1,2*D109*Pesos!$L$22,D109*Pesos!$L$22)</f>
        <v>41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</row>
    <row r="110" ht="14.25" customHeight="1">
      <c r="A110" s="41"/>
      <c r="B110" s="51" t="s">
        <v>12</v>
      </c>
      <c r="C110" s="57" t="str">
        <f>VLOOKUP($B$110,Form_PrimeiraFase!$C$2:$FB$69,156,FALSE)</f>
        <v>Liverpool</v>
      </c>
      <c r="D110" s="40">
        <f t="shared" si="28"/>
        <v>1</v>
      </c>
      <c r="E110" s="40"/>
      <c r="F110" s="69">
        <f>G87+L87+Q87+V87+AA87+AF87+AK87+AP87+IF(SUM($D$98:$D$118)=1,2*D110*Pesos!$L$22,D110*Pesos!$L$22)</f>
        <v>51</v>
      </c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</row>
    <row r="111" ht="14.25" customHeight="1">
      <c r="A111" s="41"/>
      <c r="B111" s="51" t="s">
        <v>8</v>
      </c>
      <c r="C111" s="57" t="str">
        <f>VLOOKUP($B$111,Form_PrimeiraFase!$C$2:$FB$69,156,FALSE)</f>
        <v>Chelsea</v>
      </c>
      <c r="D111" s="40">
        <f t="shared" si="28"/>
        <v>0</v>
      </c>
      <c r="E111" s="40"/>
      <c r="F111" s="69">
        <f>G88+L88+Q88+V88+AA88+AF88+AK88+AP88+IF(SUM($D$98:$D$118)=1,2*D111*Pesos!$L$22,D111*Pesos!$L$22)</f>
        <v>21</v>
      </c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</row>
    <row r="112" ht="14.25" customHeight="1">
      <c r="A112" s="41"/>
      <c r="B112" s="51" t="s">
        <v>16</v>
      </c>
      <c r="C112" s="57" t="str">
        <f>VLOOKUP($B$112,Form_PrimeiraFase!$C$2:$FB$69,156,FALSE)</f>
        <v>Barcelona</v>
      </c>
      <c r="D112" s="40">
        <f t="shared" si="28"/>
        <v>1</v>
      </c>
      <c r="E112" s="40"/>
      <c r="F112" s="69">
        <f>G89+L89+Q89+V89+AA89+AF89+AK89+AP89+IF(SUM($D$98:$D$118)=1,2*D112*Pesos!$L$22,D112*Pesos!$L$22)</f>
        <v>40</v>
      </c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</row>
    <row r="113" ht="14.25" customHeight="1">
      <c r="A113" s="41"/>
      <c r="B113" s="51" t="s">
        <v>11</v>
      </c>
      <c r="C113" s="57" t="str">
        <f>VLOOKUP($B$113,Form_PrimeiraFase!$C$2:$FB$69,156,FALSE)</f>
        <v>Barcelona</v>
      </c>
      <c r="D113" s="40">
        <f t="shared" si="28"/>
        <v>1</v>
      </c>
      <c r="E113" s="40"/>
      <c r="F113" s="69">
        <f>G90+L90+Q90+V90+AA90+AF90+AK90+AP90+IF(SUM($D$98:$D$118)=1,2*D113*Pesos!$L$22,D113*Pesos!$L$22)</f>
        <v>28</v>
      </c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</row>
    <row r="114" ht="14.25" customHeight="1">
      <c r="A114" s="41"/>
      <c r="B114" s="51" t="s">
        <v>7</v>
      </c>
      <c r="C114" s="57" t="str">
        <f>VLOOKUP($B$114,Form_PrimeiraFase!$C$2:$FB$69,156,FALSE)</f>
        <v>Barcelona</v>
      </c>
      <c r="D114" s="40">
        <f t="shared" si="28"/>
        <v>1</v>
      </c>
      <c r="E114" s="40"/>
      <c r="F114" s="69">
        <f>G91+L91+Q91+V91+AA91+AF91+AK91+AP91+IF(SUM($D$98:$D$118)=1,2*D114*Pesos!$L$22,D114*Pesos!$L$22)</f>
        <v>48</v>
      </c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</row>
    <row r="115" ht="14.25" customHeight="1">
      <c r="A115" s="41"/>
      <c r="B115" s="51" t="s">
        <v>19</v>
      </c>
      <c r="C115" s="57" t="str">
        <f>VLOOKUP($B$115,Form_PrimeiraFase!$C$2:$FB$69,156,FALSE)</f>
        <v>Paris Saint-Germain</v>
      </c>
      <c r="D115" s="40">
        <f t="shared" si="28"/>
        <v>1</v>
      </c>
      <c r="E115" s="40"/>
      <c r="F115" s="69">
        <f>G92+L92+Q92+V92+AA92+AF92+AK92+AP92+IF(SUM($D$98:$D$118)=1,2*D115*Pesos!$L$22,D115*Pesos!$L$22)</f>
        <v>39</v>
      </c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</row>
    <row r="116" ht="14.25" customHeight="1">
      <c r="A116" s="41"/>
      <c r="B116" s="51" t="s">
        <v>20</v>
      </c>
      <c r="C116" s="57" t="str">
        <f>VLOOKUP($B$116,Form_PrimeiraFase!$C$2:$FB$69,156,FALSE)</f>
        <v>Barcelona</v>
      </c>
      <c r="D116" s="40">
        <f t="shared" si="28"/>
        <v>1</v>
      </c>
      <c r="E116" s="40"/>
      <c r="F116" s="69">
        <f>G93+L93+Q93+V93+AA93+AF93+AK93+AP93+IF(SUM($D$98:$D$118)=1,2*D116*Pesos!$L$22,D116*Pesos!$L$22)</f>
        <v>39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</row>
    <row r="117" ht="14.25" customHeight="1">
      <c r="A117" s="41"/>
      <c r="B117" s="51" t="s">
        <v>21</v>
      </c>
      <c r="C117" s="57" t="str">
        <f>VLOOKUP($B$117,Form_PrimeiraFase!$C$2:$FB$69,156,FALSE)</f>
        <v>Liverpool</v>
      </c>
      <c r="D117" s="40">
        <f t="shared" si="28"/>
        <v>1</v>
      </c>
      <c r="E117" s="40"/>
      <c r="F117" s="69">
        <f>G94+L94+Q94+V94+AA94+AF94+AK94+AP94+IF(SUM($D$98:$D$118)=1,2*D117*Pesos!$L$22,D117*Pesos!$L$22)</f>
        <v>52</v>
      </c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</row>
    <row r="118" ht="14.25" customHeight="1">
      <c r="A118" s="41"/>
      <c r="B118" s="51" t="s">
        <v>22</v>
      </c>
      <c r="C118" s="57" t="str">
        <f>VLOOKUP($B$118,Form_PrimeiraFase!$C$2:$FB$69,156,FALSE)</f>
        <v>Barcelona</v>
      </c>
      <c r="D118" s="40">
        <f t="shared" si="28"/>
        <v>1</v>
      </c>
      <c r="E118" s="40"/>
      <c r="F118" s="69">
        <f>G95+L95+Q95+V95+AA95+AF95+AK95+AP95+IF(SUM($D$98:$D$118)=1,2*D118*Pesos!$L$22,D118*Pesos!$L$22)</f>
        <v>45</v>
      </c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</row>
    <row r="119" ht="14.25" customHeight="1">
      <c r="A119" s="41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</row>
    <row r="120" ht="14.25" customHeight="1">
      <c r="A120" s="41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</row>
    <row r="121" ht="14.25" customHeight="1">
      <c r="A121" s="4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</row>
    <row r="122" ht="14.25" customHeight="1">
      <c r="A122" s="4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</row>
    <row r="123" ht="14.25" customHeight="1">
      <c r="A123" s="41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</row>
    <row r="124" ht="14.25" customHeight="1">
      <c r="A124" s="4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</row>
    <row r="125" ht="14.25" customHeight="1">
      <c r="A125" s="41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</row>
    <row r="126" ht="14.25" customHeight="1">
      <c r="A126" s="41"/>
      <c r="B126" s="40"/>
      <c r="D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</row>
    <row r="127" ht="14.25" customHeight="1">
      <c r="A127" s="41"/>
      <c r="B127" s="40"/>
      <c r="D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</row>
    <row r="128" ht="14.25" customHeight="1">
      <c r="A128" s="41"/>
      <c r="B128" s="40"/>
      <c r="D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</row>
    <row r="129" ht="14.25" customHeight="1">
      <c r="A129" s="41"/>
      <c r="B129" s="40"/>
      <c r="D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</row>
    <row r="130" ht="14.25" customHeight="1">
      <c r="A130" s="41"/>
      <c r="B130" s="40"/>
      <c r="D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</row>
    <row r="131" ht="14.25" customHeight="1">
      <c r="A131" s="41"/>
      <c r="B131" s="40"/>
      <c r="D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</row>
    <row r="132" ht="14.25" customHeight="1">
      <c r="A132" s="41"/>
      <c r="B132" s="40"/>
      <c r="D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</row>
    <row r="133" ht="14.25" customHeight="1">
      <c r="A133" s="41"/>
      <c r="B133" s="40"/>
      <c r="D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</row>
    <row r="134" ht="14.25" customHeight="1">
      <c r="A134" s="41"/>
      <c r="B134" s="40"/>
      <c r="D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</row>
    <row r="135" ht="14.25" customHeight="1">
      <c r="A135" s="41"/>
      <c r="B135" s="40"/>
      <c r="D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</row>
    <row r="136" ht="14.25" customHeight="1">
      <c r="A136" s="41"/>
      <c r="B136" s="40"/>
      <c r="D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</row>
    <row r="137" ht="14.25" customHeight="1">
      <c r="A137" s="41"/>
      <c r="B137" s="40"/>
      <c r="D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</row>
    <row r="138" ht="14.25" customHeight="1">
      <c r="A138" s="41"/>
      <c r="B138" s="40"/>
      <c r="D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</row>
    <row r="139" ht="14.25" customHeight="1">
      <c r="A139" s="41"/>
      <c r="B139" s="40"/>
      <c r="D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</row>
    <row r="140" ht="14.25" customHeight="1">
      <c r="A140" s="41"/>
      <c r="B140" s="40"/>
      <c r="D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</row>
    <row r="141" ht="14.25" customHeight="1">
      <c r="A141" s="41"/>
      <c r="B141" s="40"/>
      <c r="D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</row>
    <row r="142" ht="14.25" customHeight="1">
      <c r="A142" s="41"/>
      <c r="B142" s="40"/>
      <c r="D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</row>
    <row r="143" ht="14.25" customHeight="1">
      <c r="A143" s="41"/>
      <c r="B143" s="40"/>
      <c r="D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</row>
    <row r="144" ht="14.25" customHeight="1">
      <c r="A144" s="41"/>
      <c r="B144" s="40"/>
      <c r="D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</row>
    <row r="145" ht="14.25" customHeight="1">
      <c r="A145" s="41"/>
      <c r="B145" s="40"/>
      <c r="D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</row>
    <row r="146" ht="14.25" customHeight="1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</row>
    <row r="147" ht="14.25" customHeight="1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</row>
    <row r="148" ht="14.25" customHeight="1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</row>
    <row r="149" ht="14.25" customHeight="1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</row>
    <row r="150" ht="14.25" customHeight="1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</row>
    <row r="151" ht="14.25" customHeight="1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</row>
    <row r="152" ht="14.25" customHeight="1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</row>
    <row r="153" ht="14.25" customHeight="1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</row>
    <row r="154" ht="14.25" customHeight="1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</row>
    <row r="155" ht="14.25" customHeight="1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</row>
    <row r="156" ht="14.25" customHeight="1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</row>
    <row r="157" ht="14.25" customHeight="1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</row>
    <row r="158" ht="14.25" customHeight="1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</row>
    <row r="159" ht="14.25" customHeight="1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</row>
    <row r="160" ht="14.25" customHeight="1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</row>
    <row r="161" ht="14.25" customHeight="1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</row>
    <row r="162" ht="14.25" customHeight="1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</row>
    <row r="163" ht="14.25" customHeight="1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</row>
    <row r="164" ht="14.25" customHeight="1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</row>
    <row r="165" ht="14.25" customHeight="1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</row>
    <row r="166" ht="14.25" customHeight="1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</row>
    <row r="167" ht="14.25" customHeight="1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</row>
    <row r="168" ht="14.25" customHeight="1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</row>
    <row r="169" ht="14.25" customHeight="1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</row>
    <row r="170" ht="14.25" customHeight="1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</row>
    <row r="171" ht="14.25" customHeight="1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</row>
    <row r="172" ht="14.25" customHeight="1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</row>
    <row r="173" ht="14.25" customHeight="1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</row>
    <row r="174" ht="14.25" customHeight="1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</row>
    <row r="175" ht="14.25" customHeight="1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</row>
    <row r="176" ht="14.25" customHeight="1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</row>
    <row r="177" ht="14.25" customHeight="1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</row>
    <row r="178" ht="14.25" customHeight="1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</row>
    <row r="179" ht="14.25" customHeight="1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</row>
    <row r="180" ht="14.25" customHeight="1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</row>
    <row r="181" ht="14.25" customHeight="1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</row>
    <row r="182" ht="14.25" customHeight="1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</row>
    <row r="183" ht="14.25" customHeight="1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</row>
    <row r="184" ht="14.25" customHeight="1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</row>
    <row r="185" ht="14.25" customHeight="1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</row>
    <row r="186" ht="14.25" customHeight="1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</row>
    <row r="187" ht="14.25" customHeight="1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</row>
    <row r="188" ht="14.25" customHeight="1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</row>
    <row r="189" ht="14.25" customHeight="1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</row>
    <row r="190" ht="14.25" customHeight="1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</row>
    <row r="191" ht="14.25" customHeight="1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</row>
    <row r="192" ht="14.25" customHeight="1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</row>
    <row r="193" ht="14.25" customHeight="1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</row>
    <row r="194" ht="14.25" customHeight="1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</row>
    <row r="195" ht="14.25" customHeight="1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</row>
    <row r="196" ht="14.25" customHeight="1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</row>
    <row r="197" ht="14.25" customHeight="1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</row>
    <row r="198" ht="14.25" customHeight="1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</row>
    <row r="199" ht="14.25" customHeight="1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</row>
    <row r="200" ht="14.25" customHeight="1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</row>
    <row r="201" ht="14.25" customHeight="1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</row>
    <row r="202" ht="14.25" customHeight="1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</row>
    <row r="203" ht="14.25" customHeight="1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</row>
    <row r="204" ht="14.25" customHeight="1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</row>
    <row r="205" ht="14.25" customHeight="1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</row>
    <row r="206" ht="14.25" customHeight="1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</row>
    <row r="207" ht="14.25" customHeight="1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</row>
    <row r="208" ht="14.25" customHeight="1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</row>
    <row r="209" ht="14.25" customHeight="1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</row>
    <row r="210" ht="14.25" customHeight="1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</row>
    <row r="211" ht="14.25" customHeight="1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</row>
    <row r="212" ht="14.25" customHeight="1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</row>
    <row r="213" ht="14.25" customHeight="1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</row>
    <row r="214" ht="14.25" customHeight="1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</row>
    <row r="215" ht="14.25" customHeight="1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</row>
    <row r="216" ht="14.25" customHeight="1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</row>
    <row r="217" ht="14.25" customHeight="1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</row>
    <row r="218" ht="14.25" customHeight="1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</row>
    <row r="219" ht="14.25" customHeight="1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</row>
    <row r="220" ht="14.25" customHeight="1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</row>
    <row r="221" ht="14.25" customHeight="1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</row>
    <row r="222" ht="14.25" customHeight="1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</row>
    <row r="223" ht="14.25" customHeight="1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</row>
    <row r="224" ht="14.25" customHeight="1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</row>
    <row r="225" ht="14.25" customHeight="1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</row>
    <row r="226" ht="14.25" customHeight="1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</row>
    <row r="227" ht="14.25" customHeight="1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</row>
    <row r="228" ht="14.25" customHeight="1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</row>
    <row r="229" ht="14.25" customHeight="1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</row>
    <row r="230" ht="14.25" customHeight="1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</row>
    <row r="231" ht="14.25" customHeight="1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</row>
    <row r="232" ht="14.25" customHeight="1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</row>
    <row r="233" ht="14.25" customHeight="1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</row>
    <row r="234" ht="14.25" customHeight="1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</row>
    <row r="235" ht="14.25" customHeight="1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</row>
    <row r="236" ht="14.25" customHeight="1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</row>
    <row r="237" ht="14.25" customHeight="1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</row>
    <row r="238" ht="14.25" customHeight="1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</row>
    <row r="239" ht="14.25" customHeight="1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</row>
    <row r="240" ht="14.25" customHeight="1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</row>
    <row r="241" ht="14.25" customHeight="1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</row>
    <row r="242" ht="14.25" customHeight="1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</row>
    <row r="243" ht="14.25" customHeight="1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</row>
    <row r="244" ht="14.25" customHeight="1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</row>
    <row r="245" ht="14.25" customHeight="1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</row>
    <row r="246" ht="14.25" customHeight="1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</row>
    <row r="247" ht="14.25" customHeight="1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</row>
    <row r="248" ht="14.25" customHeight="1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</row>
    <row r="249" ht="14.25" customHeight="1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</row>
    <row r="250" ht="14.25" customHeight="1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</row>
    <row r="251" ht="14.25" customHeight="1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</row>
    <row r="252" ht="14.25" customHeight="1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</row>
    <row r="253" ht="14.25" customHeight="1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</row>
    <row r="254" ht="14.25" customHeight="1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</row>
    <row r="255" ht="14.25" customHeight="1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</row>
    <row r="256" ht="14.25" customHeight="1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</row>
    <row r="257" ht="14.25" customHeight="1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</row>
    <row r="258" ht="14.25" customHeight="1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</row>
    <row r="259" ht="14.25" customHeight="1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</row>
    <row r="260" ht="14.25" customHeight="1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</row>
    <row r="261" ht="14.25" customHeight="1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</row>
    <row r="262" ht="14.25" customHeight="1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</row>
    <row r="263" ht="14.25" customHeight="1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</row>
    <row r="264" ht="14.25" customHeight="1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</row>
    <row r="265" ht="14.25" customHeight="1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</row>
    <row r="266" ht="14.25" customHeight="1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</row>
    <row r="267" ht="14.25" customHeight="1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</row>
    <row r="268" ht="14.25" customHeight="1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</row>
    <row r="269" ht="14.25" customHeight="1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</row>
    <row r="270" ht="14.25" customHeight="1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</row>
    <row r="271" ht="14.25" customHeight="1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</row>
    <row r="272" ht="14.25" customHeight="1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</row>
    <row r="273" ht="14.25" customHeight="1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</row>
    <row r="274" ht="14.25" customHeight="1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</row>
    <row r="275" ht="14.25" customHeight="1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</row>
    <row r="276" ht="14.25" customHeight="1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</row>
    <row r="277" ht="14.25" customHeight="1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</row>
    <row r="278" ht="14.25" customHeight="1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</row>
    <row r="279" ht="14.25" customHeight="1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</row>
    <row r="280" ht="14.25" customHeight="1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</row>
    <row r="281" ht="14.25" customHeight="1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</row>
    <row r="282" ht="14.25" customHeight="1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</row>
    <row r="283" ht="14.25" customHeight="1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</row>
    <row r="284" ht="14.25" customHeight="1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</row>
    <row r="285" ht="14.25" customHeight="1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</row>
    <row r="286" ht="14.25" customHeight="1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</row>
    <row r="287" ht="14.25" customHeight="1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</row>
    <row r="288" ht="14.25" customHeight="1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</row>
    <row r="289" ht="14.25" customHeight="1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</row>
    <row r="290" ht="14.25" customHeight="1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</row>
    <row r="291" ht="14.25" customHeight="1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</row>
    <row r="292" ht="14.25" customHeight="1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</row>
    <row r="293" ht="14.25" customHeight="1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</row>
    <row r="294" ht="14.25" customHeight="1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</row>
    <row r="295" ht="14.25" customHeight="1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</row>
    <row r="296" ht="14.25" customHeight="1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</row>
    <row r="297" ht="14.25" customHeight="1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</row>
    <row r="298" ht="14.25" customHeight="1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</row>
    <row r="299" ht="14.25" customHeight="1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</row>
    <row r="300" ht="14.25" customHeight="1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</row>
    <row r="301" ht="14.25" customHeight="1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</row>
    <row r="302" ht="14.25" customHeight="1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</row>
    <row r="303" ht="14.25" customHeight="1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</row>
    <row r="304" ht="14.25" customHeight="1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</row>
    <row r="305" ht="14.25" customHeight="1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</row>
    <row r="306" ht="14.25" customHeight="1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</row>
    <row r="307" ht="14.25" customHeight="1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</row>
    <row r="308" ht="14.25" customHeight="1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</row>
    <row r="309" ht="14.25" customHeight="1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</row>
    <row r="310" ht="14.25" customHeight="1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</row>
    <row r="311" ht="14.25" customHeight="1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</row>
    <row r="312" ht="14.25" customHeight="1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</row>
    <row r="313" ht="14.25" customHeight="1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</row>
    <row r="314" ht="14.25" customHeight="1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</row>
    <row r="315" ht="14.25" customHeight="1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</row>
    <row r="316" ht="14.25" customHeight="1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</row>
    <row r="317" ht="14.25" customHeight="1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</row>
    <row r="318" ht="14.25" customHeight="1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</row>
    <row r="319" ht="14.25" customHeight="1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</row>
    <row r="320" ht="14.25" customHeight="1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</row>
    <row r="321" ht="14.25" customHeight="1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</row>
    <row r="322" ht="14.25" customHeight="1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</row>
    <row r="323" ht="14.25" customHeight="1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</row>
    <row r="324" ht="14.25" customHeight="1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</row>
    <row r="325" ht="14.25" customHeight="1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</row>
    <row r="326" ht="14.25" customHeight="1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</row>
    <row r="327" ht="14.25" customHeight="1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</row>
    <row r="328" ht="14.25" customHeight="1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</row>
    <row r="329" ht="14.25" customHeight="1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</row>
    <row r="330" ht="14.25" customHeight="1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</row>
    <row r="331" ht="14.25" customHeight="1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</row>
    <row r="332" ht="14.25" customHeight="1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</row>
    <row r="333" ht="14.25" customHeight="1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</row>
    <row r="334" ht="14.25" customHeight="1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</row>
    <row r="335" ht="14.25" customHeight="1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</row>
    <row r="336" ht="14.25" customHeight="1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</row>
    <row r="337" ht="14.25" customHeight="1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</row>
    <row r="338" ht="14.25" customHeight="1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</row>
    <row r="339" ht="14.25" customHeight="1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</row>
    <row r="340" ht="14.25" customHeight="1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</row>
    <row r="341" ht="14.25" customHeight="1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</row>
    <row r="342" ht="14.25" customHeight="1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</row>
    <row r="343" ht="14.25" customHeight="1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</row>
    <row r="344" ht="14.25" customHeight="1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</row>
    <row r="345" ht="14.25" customHeight="1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</row>
    <row r="346" ht="14.25" customHeight="1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</row>
    <row r="347" ht="14.25" customHeight="1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</row>
    <row r="348" ht="14.25" customHeight="1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</row>
    <row r="349" ht="14.25" customHeight="1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</row>
    <row r="350" ht="14.25" customHeight="1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</row>
    <row r="351" ht="14.25" customHeight="1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</row>
    <row r="352" ht="14.25" customHeight="1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</row>
    <row r="353" ht="14.25" customHeight="1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</row>
    <row r="354" ht="14.25" customHeight="1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</row>
    <row r="355" ht="14.25" customHeight="1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</row>
    <row r="356" ht="14.25" customHeight="1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</row>
    <row r="357" ht="14.25" customHeight="1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</row>
    <row r="358" ht="14.25" customHeight="1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</row>
    <row r="359" ht="14.25" customHeight="1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</row>
    <row r="360" ht="14.25" customHeight="1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</row>
    <row r="361" ht="14.25" customHeight="1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</row>
    <row r="362" ht="14.25" customHeight="1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</row>
    <row r="363" ht="14.25" customHeight="1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</row>
    <row r="364" ht="14.25" customHeight="1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</row>
    <row r="365" ht="14.25" customHeight="1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</row>
    <row r="366" ht="14.25" customHeight="1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</row>
    <row r="367" ht="14.25" customHeight="1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</row>
    <row r="368" ht="14.25" customHeight="1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</row>
    <row r="369" ht="14.25" customHeight="1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</row>
    <row r="370" ht="14.25" customHeight="1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</row>
    <row r="371" ht="14.25" customHeight="1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</row>
    <row r="372" ht="14.25" customHeight="1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</row>
    <row r="373" ht="14.25" customHeight="1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</row>
    <row r="374" ht="14.25" customHeight="1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</row>
    <row r="375" ht="14.25" customHeight="1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</row>
    <row r="376" ht="14.25" customHeight="1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</row>
    <row r="377" ht="14.25" customHeight="1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</row>
    <row r="378" ht="14.25" customHeight="1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</row>
    <row r="379" ht="14.25" customHeight="1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</row>
    <row r="380" ht="14.25" customHeight="1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</row>
    <row r="381" ht="14.25" customHeight="1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</row>
    <row r="382" ht="14.25" customHeight="1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</row>
    <row r="383" ht="14.25" customHeight="1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</row>
    <row r="384" ht="14.25" customHeight="1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</row>
    <row r="385" ht="14.25" customHeight="1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</row>
    <row r="386" ht="14.25" customHeight="1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</row>
    <row r="387" ht="14.25" customHeight="1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</row>
    <row r="388" ht="14.25" customHeight="1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</row>
    <row r="389" ht="14.25" customHeight="1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</row>
    <row r="390" ht="14.25" customHeight="1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</row>
    <row r="391" ht="14.25" customHeight="1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</row>
    <row r="392" ht="14.25" customHeight="1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</row>
    <row r="393" ht="14.25" customHeight="1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</row>
    <row r="394" ht="14.25" customHeight="1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</row>
    <row r="395" ht="14.25" customHeight="1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</row>
    <row r="396" ht="14.25" customHeight="1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</row>
    <row r="397" ht="14.25" customHeight="1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</row>
    <row r="398" ht="14.25" customHeight="1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</row>
    <row r="399" ht="14.25" customHeight="1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</row>
    <row r="400" ht="14.25" customHeight="1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</row>
    <row r="401" ht="14.25" customHeight="1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</row>
    <row r="402" ht="14.25" customHeight="1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</row>
    <row r="403" ht="14.25" customHeight="1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</row>
    <row r="404" ht="14.25" customHeight="1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</row>
    <row r="405" ht="14.25" customHeight="1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</row>
    <row r="406" ht="14.25" customHeight="1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</row>
    <row r="407" ht="14.25" customHeight="1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</row>
    <row r="408" ht="14.25" customHeight="1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</row>
    <row r="409" ht="14.25" customHeight="1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</row>
    <row r="410" ht="14.25" customHeight="1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</row>
    <row r="411" ht="14.25" customHeight="1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</row>
    <row r="412" ht="14.25" customHeight="1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</row>
    <row r="413" ht="14.25" customHeight="1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</row>
    <row r="414" ht="14.25" customHeight="1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</row>
    <row r="415" ht="14.25" customHeight="1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</row>
    <row r="416" ht="14.25" customHeight="1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</row>
    <row r="417" ht="14.25" customHeight="1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</row>
    <row r="418" ht="14.25" customHeight="1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</row>
    <row r="419" ht="14.25" customHeight="1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</row>
    <row r="420" ht="14.25" customHeight="1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</row>
    <row r="421" ht="14.25" customHeight="1">
      <c r="A421" s="41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</row>
    <row r="422" ht="14.25" customHeight="1">
      <c r="A422" s="41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</row>
    <row r="423" ht="14.25" customHeight="1">
      <c r="A423" s="41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</row>
    <row r="424" ht="14.25" customHeight="1">
      <c r="A424" s="41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</row>
    <row r="425" ht="14.25" customHeight="1">
      <c r="A425" s="41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</row>
    <row r="426" ht="14.25" customHeight="1">
      <c r="A426" s="41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</row>
    <row r="427" ht="14.25" customHeight="1">
      <c r="A427" s="41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</row>
    <row r="428" ht="14.25" customHeight="1">
      <c r="A428" s="41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</row>
    <row r="429" ht="14.25" customHeight="1">
      <c r="A429" s="41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</row>
    <row r="430" ht="14.25" customHeight="1">
      <c r="A430" s="41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</row>
    <row r="431" ht="14.25" customHeight="1">
      <c r="A431" s="41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</row>
    <row r="432" ht="14.25" customHeight="1">
      <c r="A432" s="41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</row>
    <row r="433" ht="14.25" customHeight="1">
      <c r="A433" s="41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</row>
    <row r="434" ht="14.25" customHeight="1">
      <c r="A434" s="41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</row>
    <row r="435" ht="14.25" customHeight="1">
      <c r="A435" s="41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</row>
    <row r="436" ht="14.25" customHeight="1">
      <c r="A436" s="41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</row>
    <row r="437" ht="14.25" customHeight="1">
      <c r="A437" s="41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</row>
    <row r="438" ht="14.25" customHeight="1">
      <c r="A438" s="41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</row>
    <row r="439" ht="14.25" customHeight="1">
      <c r="A439" s="41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</row>
    <row r="440" ht="14.25" customHeight="1">
      <c r="A440" s="41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</row>
    <row r="441" ht="14.25" customHeight="1">
      <c r="A441" s="41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</row>
    <row r="442" ht="14.25" customHeight="1">
      <c r="A442" s="41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</row>
    <row r="443" ht="14.25" customHeight="1">
      <c r="A443" s="41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</row>
    <row r="444" ht="14.25" customHeight="1">
      <c r="A444" s="41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</row>
    <row r="445" ht="14.25" customHeight="1">
      <c r="A445" s="41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</row>
    <row r="446" ht="14.25" customHeight="1">
      <c r="A446" s="41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</row>
    <row r="447" ht="14.25" customHeight="1">
      <c r="A447" s="41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</row>
    <row r="448" ht="14.25" customHeight="1">
      <c r="A448" s="41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</row>
    <row r="449" ht="14.25" customHeight="1">
      <c r="A449" s="41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</row>
    <row r="450" ht="14.25" customHeight="1">
      <c r="A450" s="41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</row>
    <row r="451" ht="14.25" customHeight="1">
      <c r="A451" s="41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</row>
    <row r="452" ht="14.25" customHeight="1">
      <c r="A452" s="41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</row>
    <row r="453" ht="14.25" customHeight="1">
      <c r="A453" s="41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</row>
    <row r="454" ht="14.25" customHeight="1">
      <c r="A454" s="41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</row>
    <row r="455" ht="14.25" customHeight="1">
      <c r="A455" s="41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</row>
    <row r="456" ht="14.25" customHeight="1">
      <c r="A456" s="41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</row>
    <row r="457" ht="14.25" customHeight="1">
      <c r="A457" s="41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</row>
    <row r="458" ht="14.25" customHeight="1">
      <c r="A458" s="41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</row>
    <row r="459" ht="14.25" customHeight="1">
      <c r="A459" s="41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</row>
    <row r="460" ht="14.25" customHeight="1">
      <c r="A460" s="41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</row>
    <row r="461" ht="14.25" customHeight="1">
      <c r="A461" s="41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</row>
    <row r="462" ht="14.25" customHeight="1">
      <c r="A462" s="41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</row>
    <row r="463" ht="14.25" customHeight="1">
      <c r="A463" s="41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</row>
    <row r="464" ht="14.25" customHeight="1">
      <c r="A464" s="41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</row>
    <row r="465" ht="14.25" customHeight="1">
      <c r="A465" s="41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</row>
    <row r="466" ht="14.25" customHeight="1">
      <c r="A466" s="41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</row>
    <row r="467" ht="14.25" customHeight="1">
      <c r="A467" s="41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</row>
    <row r="468" ht="14.25" customHeight="1">
      <c r="A468" s="41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</row>
    <row r="469" ht="14.25" customHeight="1">
      <c r="A469" s="41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</row>
    <row r="470" ht="14.25" customHeight="1">
      <c r="A470" s="41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</row>
    <row r="471" ht="14.25" customHeight="1">
      <c r="A471" s="41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</row>
    <row r="472" ht="14.25" customHeight="1">
      <c r="A472" s="41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</row>
    <row r="473" ht="14.25" customHeight="1">
      <c r="A473" s="41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</row>
    <row r="474" ht="14.25" customHeight="1">
      <c r="A474" s="41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</row>
    <row r="475" ht="14.25" customHeight="1">
      <c r="A475" s="41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</row>
    <row r="476" ht="14.25" customHeight="1">
      <c r="A476" s="41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</row>
    <row r="477" ht="14.25" customHeight="1">
      <c r="A477" s="41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</row>
    <row r="478" ht="14.25" customHeight="1">
      <c r="A478" s="41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</row>
    <row r="479" ht="14.25" customHeight="1">
      <c r="A479" s="41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</row>
    <row r="480" ht="14.25" customHeight="1">
      <c r="A480" s="41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</row>
    <row r="481" ht="14.25" customHeight="1">
      <c r="A481" s="41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</row>
    <row r="482" ht="14.25" customHeight="1">
      <c r="A482" s="41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</row>
    <row r="483" ht="14.25" customHeight="1">
      <c r="A483" s="41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</row>
    <row r="484" ht="14.25" customHeight="1">
      <c r="A484" s="41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</row>
    <row r="485" ht="14.25" customHeight="1">
      <c r="A485" s="41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</row>
    <row r="486" ht="14.25" customHeight="1">
      <c r="A486" s="41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</row>
    <row r="487" ht="14.25" customHeight="1">
      <c r="A487" s="41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</row>
    <row r="488" ht="14.25" customHeight="1">
      <c r="A488" s="41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</row>
    <row r="489" ht="14.25" customHeight="1">
      <c r="A489" s="41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</row>
    <row r="490" ht="14.25" customHeight="1">
      <c r="A490" s="41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</row>
    <row r="491" ht="14.25" customHeight="1">
      <c r="A491" s="41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</row>
    <row r="492" ht="14.25" customHeight="1">
      <c r="A492" s="41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</row>
    <row r="493" ht="14.25" customHeight="1">
      <c r="A493" s="41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</row>
    <row r="494" ht="14.25" customHeight="1">
      <c r="A494" s="41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</row>
    <row r="495" ht="14.25" customHeight="1">
      <c r="A495" s="41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</row>
    <row r="496" ht="14.25" customHeight="1">
      <c r="A496" s="41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</row>
    <row r="497" ht="14.25" customHeight="1">
      <c r="A497" s="41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</row>
    <row r="498" ht="14.25" customHeight="1">
      <c r="A498" s="41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</row>
    <row r="499" ht="14.25" customHeight="1">
      <c r="A499" s="41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</row>
    <row r="500" ht="14.25" customHeight="1">
      <c r="A500" s="41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</row>
    <row r="501" ht="14.25" customHeight="1">
      <c r="A501" s="41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</row>
    <row r="502" ht="14.25" customHeight="1">
      <c r="A502" s="41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</row>
    <row r="503" ht="14.25" customHeight="1">
      <c r="A503" s="41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</row>
    <row r="504" ht="14.25" customHeight="1">
      <c r="A504" s="41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</row>
    <row r="505" ht="14.25" customHeight="1">
      <c r="A505" s="41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</row>
    <row r="506" ht="14.25" customHeight="1">
      <c r="A506" s="41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</row>
    <row r="507" ht="14.25" customHeight="1">
      <c r="A507" s="41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</row>
    <row r="508" ht="14.25" customHeight="1">
      <c r="A508" s="41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</row>
    <row r="509" ht="14.25" customHeight="1">
      <c r="A509" s="41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</row>
    <row r="510" ht="14.25" customHeight="1">
      <c r="A510" s="41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</row>
    <row r="511" ht="14.25" customHeight="1">
      <c r="A511" s="41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</row>
    <row r="512" ht="14.25" customHeight="1">
      <c r="A512" s="41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</row>
    <row r="513" ht="14.25" customHeight="1">
      <c r="A513" s="41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</row>
    <row r="514" ht="14.25" customHeight="1">
      <c r="A514" s="41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</row>
    <row r="515" ht="14.25" customHeight="1">
      <c r="A515" s="41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</row>
    <row r="516" ht="14.25" customHeight="1">
      <c r="A516" s="41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</row>
    <row r="517" ht="14.25" customHeight="1">
      <c r="A517" s="41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</row>
    <row r="518" ht="14.25" customHeight="1">
      <c r="A518" s="41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</row>
    <row r="519" ht="14.25" customHeight="1">
      <c r="A519" s="41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</row>
    <row r="520" ht="14.25" customHeight="1">
      <c r="A520" s="41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</row>
    <row r="521" ht="14.25" customHeight="1">
      <c r="A521" s="41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</row>
    <row r="522" ht="14.25" customHeight="1">
      <c r="A522" s="41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</row>
    <row r="523" ht="14.25" customHeight="1">
      <c r="A523" s="41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</row>
    <row r="524" ht="14.25" customHeight="1">
      <c r="A524" s="41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</row>
    <row r="525" ht="14.25" customHeight="1">
      <c r="A525" s="41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</row>
    <row r="526" ht="14.25" customHeight="1">
      <c r="A526" s="41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</row>
    <row r="527" ht="14.25" customHeight="1">
      <c r="A527" s="41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</row>
    <row r="528" ht="14.25" customHeight="1">
      <c r="A528" s="41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</row>
    <row r="529" ht="14.25" customHeight="1">
      <c r="A529" s="41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</row>
    <row r="530" ht="14.25" customHeight="1">
      <c r="A530" s="41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</row>
    <row r="531" ht="14.25" customHeight="1">
      <c r="A531" s="41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</row>
    <row r="532" ht="14.25" customHeight="1">
      <c r="A532" s="41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</row>
    <row r="533" ht="14.25" customHeight="1">
      <c r="A533" s="41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</row>
    <row r="534" ht="14.25" customHeight="1">
      <c r="A534" s="41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</row>
    <row r="535" ht="14.25" customHeight="1">
      <c r="A535" s="41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</row>
    <row r="536" ht="14.25" customHeight="1">
      <c r="A536" s="41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</row>
    <row r="537" ht="14.25" customHeight="1">
      <c r="A537" s="41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</row>
    <row r="538" ht="14.25" customHeight="1">
      <c r="A538" s="41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</row>
    <row r="539" ht="14.25" customHeight="1">
      <c r="A539" s="41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</row>
    <row r="540" ht="14.25" customHeight="1">
      <c r="A540" s="41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</row>
    <row r="541" ht="14.25" customHeight="1">
      <c r="A541" s="41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</row>
    <row r="542" ht="14.25" customHeight="1">
      <c r="A542" s="41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</row>
    <row r="543" ht="14.25" customHeight="1">
      <c r="A543" s="41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</row>
    <row r="544" ht="14.25" customHeight="1">
      <c r="A544" s="41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</row>
    <row r="545" ht="14.25" customHeight="1">
      <c r="A545" s="41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</row>
    <row r="546" ht="14.25" customHeight="1">
      <c r="A546" s="41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</row>
    <row r="547" ht="14.25" customHeight="1">
      <c r="A547" s="41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</row>
    <row r="548" ht="14.25" customHeight="1">
      <c r="A548" s="41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</row>
    <row r="549" ht="14.25" customHeight="1">
      <c r="A549" s="41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</row>
    <row r="550" ht="14.25" customHeight="1">
      <c r="A550" s="41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</row>
    <row r="551" ht="14.25" customHeight="1">
      <c r="A551" s="41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</row>
    <row r="552" ht="14.25" customHeight="1">
      <c r="A552" s="41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</row>
    <row r="553" ht="14.25" customHeight="1">
      <c r="A553" s="41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</row>
    <row r="554" ht="14.25" customHeight="1">
      <c r="A554" s="41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</row>
    <row r="555" ht="14.25" customHeight="1">
      <c r="A555" s="41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</row>
    <row r="556" ht="14.25" customHeight="1">
      <c r="A556" s="41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</row>
    <row r="557" ht="14.25" customHeight="1">
      <c r="A557" s="41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</row>
    <row r="558" ht="14.25" customHeight="1">
      <c r="A558" s="41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</row>
    <row r="559" ht="14.25" customHeight="1">
      <c r="A559" s="41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</row>
    <row r="560" ht="14.25" customHeight="1">
      <c r="A560" s="41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</row>
    <row r="561" ht="14.25" customHeight="1">
      <c r="A561" s="41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</row>
    <row r="562" ht="14.25" customHeight="1">
      <c r="A562" s="41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</row>
    <row r="563" ht="14.25" customHeight="1">
      <c r="A563" s="41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</row>
    <row r="564" ht="14.25" customHeight="1">
      <c r="A564" s="41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</row>
    <row r="565" ht="14.25" customHeight="1">
      <c r="A565" s="41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</row>
    <row r="566" ht="14.25" customHeight="1">
      <c r="A566" s="41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</row>
    <row r="567" ht="14.25" customHeight="1">
      <c r="A567" s="41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</row>
    <row r="568" ht="14.25" customHeight="1">
      <c r="A568" s="41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</row>
    <row r="569" ht="14.25" customHeight="1">
      <c r="A569" s="41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</row>
    <row r="570" ht="14.25" customHeight="1">
      <c r="A570" s="41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</row>
    <row r="571" ht="14.25" customHeight="1">
      <c r="A571" s="41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</row>
    <row r="572" ht="14.25" customHeight="1">
      <c r="A572" s="41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</row>
    <row r="573" ht="14.25" customHeight="1">
      <c r="A573" s="41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</row>
    <row r="574" ht="14.25" customHeight="1">
      <c r="A574" s="41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</row>
    <row r="575" ht="14.25" customHeight="1">
      <c r="A575" s="41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</row>
    <row r="576" ht="14.25" customHeight="1">
      <c r="A576" s="41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</row>
    <row r="577" ht="14.25" customHeight="1">
      <c r="A577" s="41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</row>
    <row r="578" ht="14.25" customHeight="1">
      <c r="A578" s="41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</row>
    <row r="579" ht="14.25" customHeight="1">
      <c r="A579" s="41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</row>
    <row r="580" ht="14.25" customHeight="1">
      <c r="A580" s="41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</row>
    <row r="581" ht="14.25" customHeight="1">
      <c r="A581" s="41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</row>
    <row r="582" ht="14.25" customHeight="1">
      <c r="A582" s="41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</row>
    <row r="583" ht="14.25" customHeight="1">
      <c r="A583" s="41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</row>
    <row r="584" ht="14.25" customHeight="1">
      <c r="A584" s="41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</row>
    <row r="585" ht="14.25" customHeight="1">
      <c r="A585" s="41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</row>
    <row r="586" ht="14.25" customHeight="1">
      <c r="A586" s="41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</row>
    <row r="587" ht="14.25" customHeight="1">
      <c r="A587" s="41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</row>
    <row r="588" ht="14.25" customHeight="1">
      <c r="A588" s="41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</row>
    <row r="589" ht="14.25" customHeight="1">
      <c r="A589" s="41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</row>
    <row r="590" ht="14.25" customHeight="1">
      <c r="A590" s="41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</row>
    <row r="591" ht="14.25" customHeight="1">
      <c r="A591" s="41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</row>
    <row r="592" ht="14.25" customHeight="1">
      <c r="A592" s="41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</row>
    <row r="593" ht="14.25" customHeight="1">
      <c r="A593" s="41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</row>
    <row r="594" ht="14.25" customHeight="1">
      <c r="A594" s="41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</row>
    <row r="595" ht="14.25" customHeight="1">
      <c r="A595" s="41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</row>
    <row r="596" ht="14.25" customHeight="1">
      <c r="A596" s="41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</row>
    <row r="597" ht="14.25" customHeight="1">
      <c r="A597" s="41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</row>
    <row r="598" ht="14.25" customHeight="1">
      <c r="A598" s="41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</row>
    <row r="599" ht="14.25" customHeight="1">
      <c r="A599" s="41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</row>
    <row r="600" ht="14.25" customHeight="1">
      <c r="A600" s="41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</row>
    <row r="601" ht="14.25" customHeight="1">
      <c r="A601" s="41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</row>
    <row r="602" ht="14.25" customHeight="1">
      <c r="A602" s="41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</row>
    <row r="603" ht="14.25" customHeight="1">
      <c r="A603" s="41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</row>
    <row r="604" ht="14.25" customHeight="1">
      <c r="A604" s="41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</row>
    <row r="605" ht="14.25" customHeight="1">
      <c r="A605" s="41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</row>
    <row r="606" ht="14.25" customHeight="1">
      <c r="A606" s="41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</row>
    <row r="607" ht="14.25" customHeight="1">
      <c r="A607" s="41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</row>
    <row r="608" ht="14.25" customHeight="1">
      <c r="A608" s="41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</row>
    <row r="609" ht="14.25" customHeight="1">
      <c r="A609" s="41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</row>
    <row r="610" ht="14.25" customHeight="1">
      <c r="A610" s="41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</row>
    <row r="611" ht="14.25" customHeight="1">
      <c r="A611" s="41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</row>
    <row r="612" ht="14.25" customHeight="1">
      <c r="A612" s="41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</row>
    <row r="613" ht="14.25" customHeight="1">
      <c r="A613" s="41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</row>
    <row r="614" ht="14.25" customHeight="1">
      <c r="A614" s="41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</row>
    <row r="615" ht="14.25" customHeight="1">
      <c r="A615" s="41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</row>
    <row r="616" ht="14.25" customHeight="1">
      <c r="A616" s="41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</row>
    <row r="617" ht="14.25" customHeight="1">
      <c r="A617" s="41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</row>
    <row r="618" ht="14.25" customHeight="1">
      <c r="A618" s="41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</row>
    <row r="619" ht="14.25" customHeight="1">
      <c r="A619" s="41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</row>
    <row r="620" ht="14.25" customHeight="1">
      <c r="A620" s="41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</row>
    <row r="621" ht="14.25" customHeight="1">
      <c r="A621" s="41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</row>
    <row r="622" ht="14.25" customHeight="1">
      <c r="A622" s="41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</row>
    <row r="623" ht="14.25" customHeight="1">
      <c r="A623" s="41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</row>
    <row r="624" ht="14.25" customHeight="1">
      <c r="A624" s="41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</row>
    <row r="625" ht="14.25" customHeight="1">
      <c r="A625" s="41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</row>
    <row r="626" ht="14.25" customHeight="1">
      <c r="A626" s="41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</row>
    <row r="627" ht="14.25" customHeight="1">
      <c r="A627" s="41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</row>
    <row r="628" ht="14.25" customHeight="1">
      <c r="A628" s="41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</row>
    <row r="629" ht="14.25" customHeight="1">
      <c r="A629" s="41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</row>
    <row r="630" ht="14.25" customHeight="1">
      <c r="A630" s="41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</row>
    <row r="631" ht="14.25" customHeight="1">
      <c r="A631" s="41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</row>
    <row r="632" ht="14.25" customHeight="1">
      <c r="A632" s="41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</row>
    <row r="633" ht="14.25" customHeight="1">
      <c r="A633" s="41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</row>
    <row r="634" ht="14.25" customHeight="1">
      <c r="A634" s="41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</row>
    <row r="635" ht="14.25" customHeight="1">
      <c r="A635" s="41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</row>
    <row r="636" ht="14.25" customHeight="1">
      <c r="A636" s="41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</row>
    <row r="637" ht="14.25" customHeight="1">
      <c r="A637" s="41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</row>
    <row r="638" ht="14.25" customHeight="1">
      <c r="A638" s="41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</row>
    <row r="639" ht="14.25" customHeight="1">
      <c r="A639" s="41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</row>
    <row r="640" ht="14.25" customHeight="1">
      <c r="A640" s="41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</row>
    <row r="641" ht="14.25" customHeight="1">
      <c r="A641" s="41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</row>
    <row r="642" ht="14.25" customHeight="1">
      <c r="A642" s="41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</row>
    <row r="643" ht="14.25" customHeight="1">
      <c r="A643" s="41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</row>
    <row r="644" ht="14.25" customHeight="1">
      <c r="A644" s="41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</row>
    <row r="645" ht="14.25" customHeight="1">
      <c r="A645" s="41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</row>
    <row r="646" ht="14.25" customHeight="1">
      <c r="A646" s="41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</row>
    <row r="647" ht="14.25" customHeight="1">
      <c r="A647" s="41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</row>
    <row r="648" ht="14.25" customHeight="1">
      <c r="A648" s="41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</row>
    <row r="649" ht="14.25" customHeight="1">
      <c r="A649" s="41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</row>
    <row r="650" ht="14.25" customHeight="1">
      <c r="A650" s="41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</row>
    <row r="651" ht="14.25" customHeight="1">
      <c r="A651" s="41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</row>
    <row r="652" ht="14.25" customHeight="1">
      <c r="A652" s="41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</row>
    <row r="653" ht="14.25" customHeight="1">
      <c r="A653" s="41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</row>
    <row r="654" ht="14.25" customHeight="1">
      <c r="A654" s="41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</row>
    <row r="655" ht="14.25" customHeight="1">
      <c r="A655" s="41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</row>
    <row r="656" ht="14.25" customHeight="1">
      <c r="A656" s="41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</row>
    <row r="657" ht="14.25" customHeight="1">
      <c r="A657" s="41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</row>
    <row r="658" ht="14.25" customHeight="1">
      <c r="A658" s="41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</row>
    <row r="659" ht="14.25" customHeight="1">
      <c r="A659" s="41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</row>
    <row r="660" ht="14.25" customHeight="1">
      <c r="A660" s="41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</row>
    <row r="661" ht="14.25" customHeight="1">
      <c r="A661" s="41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</row>
    <row r="662" ht="14.25" customHeight="1">
      <c r="A662" s="41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</row>
    <row r="663" ht="14.25" customHeight="1">
      <c r="A663" s="41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</row>
    <row r="664" ht="14.25" customHeight="1">
      <c r="A664" s="41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</row>
    <row r="665" ht="14.25" customHeight="1">
      <c r="A665" s="41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</row>
    <row r="666" ht="14.25" customHeight="1">
      <c r="A666" s="41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</row>
    <row r="667" ht="14.25" customHeight="1">
      <c r="A667" s="41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</row>
    <row r="668" ht="14.25" customHeight="1">
      <c r="A668" s="41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</row>
    <row r="669" ht="14.25" customHeight="1">
      <c r="A669" s="41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</row>
    <row r="670" ht="14.25" customHeight="1">
      <c r="A670" s="41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</row>
    <row r="671" ht="14.25" customHeight="1">
      <c r="A671" s="41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</row>
    <row r="672" ht="14.25" customHeight="1">
      <c r="A672" s="41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</row>
    <row r="673" ht="14.25" customHeight="1">
      <c r="A673" s="41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</row>
    <row r="674" ht="14.25" customHeight="1">
      <c r="A674" s="41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</row>
    <row r="675" ht="14.25" customHeight="1">
      <c r="A675" s="41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</row>
    <row r="676" ht="14.25" customHeight="1">
      <c r="A676" s="41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</row>
    <row r="677" ht="14.25" customHeight="1">
      <c r="A677" s="41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</row>
    <row r="678" ht="14.25" customHeight="1">
      <c r="A678" s="41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</row>
    <row r="679" ht="14.25" customHeight="1">
      <c r="A679" s="41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</row>
    <row r="680" ht="14.25" customHeight="1">
      <c r="A680" s="41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</row>
    <row r="681" ht="14.25" customHeight="1">
      <c r="A681" s="41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</row>
    <row r="682" ht="14.25" customHeight="1">
      <c r="A682" s="41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</row>
    <row r="683" ht="14.25" customHeight="1">
      <c r="A683" s="41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</row>
    <row r="684" ht="14.25" customHeight="1">
      <c r="A684" s="41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</row>
    <row r="685" ht="14.25" customHeight="1">
      <c r="A685" s="41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</row>
    <row r="686" ht="14.25" customHeight="1">
      <c r="A686" s="41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</row>
    <row r="687" ht="14.25" customHeight="1">
      <c r="A687" s="41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</row>
    <row r="688" ht="14.25" customHeight="1">
      <c r="A688" s="41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</row>
    <row r="689" ht="14.25" customHeight="1">
      <c r="A689" s="41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</row>
    <row r="690" ht="14.25" customHeight="1">
      <c r="A690" s="41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</row>
    <row r="691" ht="14.25" customHeight="1">
      <c r="A691" s="41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</row>
    <row r="692" ht="14.25" customHeight="1">
      <c r="A692" s="41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</row>
    <row r="693" ht="14.25" customHeight="1">
      <c r="A693" s="41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</row>
    <row r="694" ht="14.25" customHeight="1">
      <c r="A694" s="41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</row>
    <row r="695" ht="14.25" customHeight="1">
      <c r="A695" s="41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</row>
    <row r="696" ht="14.25" customHeight="1">
      <c r="A696" s="41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</row>
    <row r="697" ht="14.25" customHeight="1">
      <c r="A697" s="41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</row>
    <row r="698" ht="14.25" customHeight="1">
      <c r="A698" s="41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</row>
    <row r="699" ht="14.25" customHeight="1">
      <c r="A699" s="41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</row>
    <row r="700" ht="14.25" customHeight="1">
      <c r="A700" s="41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</row>
    <row r="701" ht="14.25" customHeight="1">
      <c r="A701" s="41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</row>
    <row r="702" ht="14.25" customHeight="1">
      <c r="A702" s="41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</row>
    <row r="703" ht="14.25" customHeight="1">
      <c r="A703" s="41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</row>
    <row r="704" ht="14.25" customHeight="1">
      <c r="A704" s="41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</row>
    <row r="705" ht="14.25" customHeight="1">
      <c r="A705" s="41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</row>
    <row r="706" ht="14.25" customHeight="1">
      <c r="A706" s="41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</row>
    <row r="707" ht="14.25" customHeight="1">
      <c r="A707" s="41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</row>
    <row r="708" ht="14.25" customHeight="1">
      <c r="A708" s="41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</row>
    <row r="709" ht="14.25" customHeight="1">
      <c r="A709" s="41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</row>
    <row r="710" ht="14.25" customHeight="1">
      <c r="A710" s="41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</row>
    <row r="711" ht="14.25" customHeight="1">
      <c r="A711" s="41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</row>
    <row r="712" ht="14.25" customHeight="1">
      <c r="A712" s="41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</row>
    <row r="713" ht="14.25" customHeight="1">
      <c r="A713" s="41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</row>
    <row r="714" ht="14.25" customHeight="1">
      <c r="A714" s="41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</row>
    <row r="715" ht="14.25" customHeight="1">
      <c r="A715" s="41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</row>
    <row r="716" ht="14.25" customHeight="1">
      <c r="A716" s="41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</row>
    <row r="717" ht="14.25" customHeight="1">
      <c r="A717" s="41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</row>
    <row r="718" ht="14.25" customHeight="1">
      <c r="A718" s="41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</row>
    <row r="719" ht="14.25" customHeight="1">
      <c r="A719" s="41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</row>
    <row r="720" ht="14.25" customHeight="1">
      <c r="A720" s="41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</row>
    <row r="721" ht="14.25" customHeight="1">
      <c r="A721" s="41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</row>
    <row r="722" ht="14.25" customHeight="1">
      <c r="A722" s="41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</row>
    <row r="723" ht="14.25" customHeight="1">
      <c r="A723" s="41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</row>
    <row r="724" ht="14.25" customHeight="1">
      <c r="A724" s="41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</row>
    <row r="725" ht="14.25" customHeight="1">
      <c r="A725" s="41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</row>
    <row r="726" ht="14.25" customHeight="1">
      <c r="A726" s="41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</row>
    <row r="727" ht="14.25" customHeight="1">
      <c r="A727" s="41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</row>
    <row r="728" ht="14.25" customHeight="1">
      <c r="A728" s="41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</row>
    <row r="729" ht="14.25" customHeight="1">
      <c r="A729" s="41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</row>
    <row r="730" ht="14.25" customHeight="1">
      <c r="A730" s="41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</row>
    <row r="731" ht="14.25" customHeight="1">
      <c r="A731" s="41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</row>
    <row r="732" ht="14.25" customHeight="1">
      <c r="A732" s="41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</row>
    <row r="733" ht="14.25" customHeight="1">
      <c r="A733" s="41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</row>
    <row r="734" ht="14.25" customHeight="1">
      <c r="A734" s="41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</row>
    <row r="735" ht="14.25" customHeight="1">
      <c r="A735" s="41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</row>
    <row r="736" ht="14.25" customHeight="1">
      <c r="A736" s="41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</row>
    <row r="737" ht="14.25" customHeight="1">
      <c r="A737" s="41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</row>
    <row r="738" ht="14.25" customHeight="1">
      <c r="A738" s="41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</row>
    <row r="739" ht="14.25" customHeight="1">
      <c r="A739" s="41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</row>
    <row r="740" ht="14.25" customHeight="1">
      <c r="A740" s="41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</row>
    <row r="741" ht="14.25" customHeight="1">
      <c r="A741" s="41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</row>
    <row r="742" ht="14.25" customHeight="1">
      <c r="A742" s="41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</row>
    <row r="743" ht="14.25" customHeight="1">
      <c r="A743" s="41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</row>
    <row r="744" ht="14.25" customHeight="1">
      <c r="A744" s="41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</row>
    <row r="745" ht="14.25" customHeight="1">
      <c r="A745" s="41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</row>
    <row r="746" ht="14.25" customHeight="1">
      <c r="A746" s="41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</row>
    <row r="747" ht="14.25" customHeight="1">
      <c r="A747" s="41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</row>
    <row r="748" ht="14.25" customHeight="1">
      <c r="A748" s="41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</row>
    <row r="749" ht="14.25" customHeight="1">
      <c r="A749" s="41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</row>
    <row r="750" ht="14.25" customHeight="1">
      <c r="A750" s="41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</row>
    <row r="751" ht="14.25" customHeight="1">
      <c r="A751" s="41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</row>
    <row r="752" ht="14.25" customHeight="1">
      <c r="A752" s="41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</row>
    <row r="753" ht="14.25" customHeight="1">
      <c r="A753" s="41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</row>
    <row r="754" ht="14.25" customHeight="1">
      <c r="A754" s="41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</row>
    <row r="755" ht="14.25" customHeight="1">
      <c r="A755" s="41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</row>
    <row r="756" ht="14.25" customHeight="1">
      <c r="A756" s="41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</row>
    <row r="757" ht="14.25" customHeight="1">
      <c r="A757" s="41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</row>
    <row r="758" ht="14.25" customHeight="1">
      <c r="A758" s="41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</row>
    <row r="759" ht="14.25" customHeight="1">
      <c r="A759" s="41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</row>
    <row r="760" ht="14.25" customHeight="1">
      <c r="A760" s="41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</row>
    <row r="761" ht="14.25" customHeight="1">
      <c r="A761" s="41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</row>
    <row r="762" ht="14.25" customHeight="1">
      <c r="A762" s="41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</row>
    <row r="763" ht="14.25" customHeight="1">
      <c r="A763" s="41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</row>
    <row r="764" ht="14.25" customHeight="1">
      <c r="A764" s="41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</row>
    <row r="765" ht="14.25" customHeight="1">
      <c r="A765" s="41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</row>
    <row r="766" ht="14.25" customHeight="1">
      <c r="A766" s="41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</row>
    <row r="767" ht="14.25" customHeight="1">
      <c r="A767" s="41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</row>
    <row r="768" ht="14.25" customHeight="1">
      <c r="A768" s="41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</row>
    <row r="769" ht="14.25" customHeight="1">
      <c r="A769" s="41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</row>
    <row r="770" ht="14.25" customHeight="1">
      <c r="A770" s="41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</row>
    <row r="771" ht="14.25" customHeight="1">
      <c r="A771" s="41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</row>
    <row r="772" ht="14.25" customHeight="1">
      <c r="A772" s="41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</row>
    <row r="773" ht="14.25" customHeight="1">
      <c r="A773" s="41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</row>
    <row r="774" ht="14.25" customHeight="1">
      <c r="A774" s="41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</row>
    <row r="775" ht="14.25" customHeight="1">
      <c r="A775" s="41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</row>
    <row r="776" ht="14.25" customHeight="1">
      <c r="A776" s="41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</row>
    <row r="777" ht="14.25" customHeight="1">
      <c r="A777" s="41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</row>
    <row r="778" ht="14.25" customHeight="1">
      <c r="A778" s="41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</row>
    <row r="779" ht="14.25" customHeight="1">
      <c r="A779" s="41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</row>
    <row r="780" ht="14.25" customHeight="1">
      <c r="A780" s="41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</row>
    <row r="781" ht="14.25" customHeight="1">
      <c r="A781" s="41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</row>
    <row r="782" ht="14.25" customHeight="1">
      <c r="A782" s="41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</row>
    <row r="783" ht="14.25" customHeight="1">
      <c r="A783" s="41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</row>
    <row r="784" ht="14.25" customHeight="1">
      <c r="A784" s="41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</row>
    <row r="785" ht="14.25" customHeight="1">
      <c r="A785" s="41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</row>
    <row r="786" ht="14.25" customHeight="1">
      <c r="A786" s="41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</row>
    <row r="787" ht="14.25" customHeight="1">
      <c r="A787" s="41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</row>
    <row r="788" ht="14.25" customHeight="1">
      <c r="A788" s="41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</row>
    <row r="789" ht="14.25" customHeight="1">
      <c r="A789" s="41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</row>
    <row r="790" ht="14.25" customHeight="1">
      <c r="A790" s="41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</row>
    <row r="791" ht="14.25" customHeight="1">
      <c r="A791" s="41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</row>
    <row r="792" ht="14.25" customHeight="1">
      <c r="A792" s="41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</row>
    <row r="793" ht="14.25" customHeight="1">
      <c r="A793" s="41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</row>
    <row r="794" ht="14.25" customHeight="1">
      <c r="A794" s="41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</row>
    <row r="795" ht="14.25" customHeight="1">
      <c r="A795" s="41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</row>
    <row r="796" ht="14.25" customHeight="1">
      <c r="A796" s="41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</row>
    <row r="797" ht="14.25" customHeight="1">
      <c r="A797" s="41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</row>
    <row r="798" ht="14.25" customHeight="1">
      <c r="A798" s="41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</row>
    <row r="799" ht="14.25" customHeight="1">
      <c r="A799" s="41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</row>
    <row r="800" ht="14.25" customHeight="1">
      <c r="A800" s="41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</row>
    <row r="801" ht="14.25" customHeight="1">
      <c r="A801" s="41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</row>
    <row r="802" ht="14.25" customHeight="1">
      <c r="A802" s="41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</row>
    <row r="803" ht="14.25" customHeight="1">
      <c r="A803" s="41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</row>
    <row r="804" ht="14.25" customHeight="1">
      <c r="A804" s="41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</row>
    <row r="805" ht="14.25" customHeight="1">
      <c r="A805" s="41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</row>
    <row r="806" ht="14.25" customHeight="1">
      <c r="A806" s="41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</row>
    <row r="807" ht="14.25" customHeight="1">
      <c r="A807" s="41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</row>
    <row r="808" ht="14.25" customHeight="1">
      <c r="A808" s="41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</row>
    <row r="809" ht="14.25" customHeight="1">
      <c r="A809" s="41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</row>
    <row r="810" ht="14.25" customHeight="1">
      <c r="A810" s="41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</row>
    <row r="811" ht="14.25" customHeight="1">
      <c r="A811" s="41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</row>
    <row r="812" ht="14.25" customHeight="1">
      <c r="A812" s="41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</row>
    <row r="813" ht="14.25" customHeight="1">
      <c r="A813" s="41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</row>
    <row r="814" ht="14.25" customHeight="1">
      <c r="A814" s="41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</row>
    <row r="815" ht="14.25" customHeight="1">
      <c r="A815" s="41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</row>
    <row r="816" ht="14.25" customHeight="1">
      <c r="A816" s="41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</row>
    <row r="817" ht="14.25" customHeight="1">
      <c r="A817" s="41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</row>
    <row r="818" ht="14.25" customHeight="1">
      <c r="A818" s="41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</row>
    <row r="819" ht="14.25" customHeight="1">
      <c r="A819" s="41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</row>
    <row r="820" ht="14.25" customHeight="1">
      <c r="A820" s="41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</row>
    <row r="821" ht="14.25" customHeight="1">
      <c r="A821" s="41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</row>
    <row r="822" ht="14.25" customHeight="1">
      <c r="A822" s="41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</row>
    <row r="823" ht="14.25" customHeight="1">
      <c r="A823" s="41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</row>
    <row r="824" ht="14.25" customHeight="1">
      <c r="A824" s="41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</row>
    <row r="825" ht="14.25" customHeight="1">
      <c r="A825" s="41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</row>
    <row r="826" ht="14.25" customHeight="1">
      <c r="A826" s="41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</row>
    <row r="827" ht="14.25" customHeight="1">
      <c r="A827" s="41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</row>
    <row r="828" ht="14.25" customHeight="1">
      <c r="A828" s="41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</row>
    <row r="829" ht="14.25" customHeight="1">
      <c r="A829" s="41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</row>
    <row r="830" ht="14.25" customHeight="1">
      <c r="A830" s="41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</row>
    <row r="831" ht="14.25" customHeight="1">
      <c r="A831" s="41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</row>
    <row r="832" ht="14.25" customHeight="1">
      <c r="A832" s="41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</row>
    <row r="833" ht="14.25" customHeight="1">
      <c r="A833" s="41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</row>
    <row r="834" ht="14.25" customHeight="1">
      <c r="A834" s="41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</row>
    <row r="835" ht="14.25" customHeight="1">
      <c r="A835" s="41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</row>
    <row r="836" ht="14.25" customHeight="1">
      <c r="A836" s="41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</row>
    <row r="837" ht="14.25" customHeight="1">
      <c r="A837" s="41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</row>
    <row r="838" ht="14.25" customHeight="1">
      <c r="A838" s="41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</row>
    <row r="839" ht="14.25" customHeight="1">
      <c r="A839" s="41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</row>
    <row r="840" ht="14.25" customHeight="1">
      <c r="A840" s="41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</row>
    <row r="841" ht="14.25" customHeight="1">
      <c r="A841" s="41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</row>
    <row r="842" ht="14.25" customHeight="1">
      <c r="A842" s="41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</row>
    <row r="843" ht="14.25" customHeight="1">
      <c r="A843" s="41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</row>
    <row r="844" ht="14.25" customHeight="1">
      <c r="A844" s="41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</row>
    <row r="845" ht="14.25" customHeight="1">
      <c r="A845" s="41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</row>
    <row r="846" ht="14.25" customHeight="1">
      <c r="A846" s="41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</row>
    <row r="847" ht="14.25" customHeight="1">
      <c r="A847" s="41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</row>
    <row r="848" ht="14.25" customHeight="1">
      <c r="A848" s="41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</row>
    <row r="849" ht="14.25" customHeight="1">
      <c r="A849" s="41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</row>
    <row r="850" ht="14.25" customHeight="1">
      <c r="A850" s="41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</row>
    <row r="851" ht="14.25" customHeight="1">
      <c r="A851" s="41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</row>
    <row r="852" ht="14.25" customHeight="1">
      <c r="A852" s="41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</row>
    <row r="853" ht="14.25" customHeight="1">
      <c r="A853" s="41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</row>
    <row r="854" ht="14.25" customHeight="1">
      <c r="A854" s="41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</row>
    <row r="855" ht="14.25" customHeight="1">
      <c r="A855" s="41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</row>
    <row r="856" ht="14.25" customHeight="1">
      <c r="A856" s="41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</row>
    <row r="857" ht="14.25" customHeight="1">
      <c r="A857" s="41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</row>
    <row r="858" ht="14.25" customHeight="1">
      <c r="A858" s="41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</row>
    <row r="859" ht="14.25" customHeight="1">
      <c r="A859" s="41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</row>
    <row r="860" ht="14.25" customHeight="1">
      <c r="A860" s="41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</row>
    <row r="861" ht="14.25" customHeight="1">
      <c r="A861" s="41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</row>
    <row r="862" ht="14.25" customHeight="1">
      <c r="A862" s="41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</row>
    <row r="863" ht="14.25" customHeight="1">
      <c r="A863" s="41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</row>
    <row r="864" ht="14.25" customHeight="1">
      <c r="A864" s="41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</row>
    <row r="865" ht="14.25" customHeight="1">
      <c r="A865" s="41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</row>
    <row r="866" ht="14.25" customHeight="1">
      <c r="A866" s="41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</row>
    <row r="867" ht="14.25" customHeight="1">
      <c r="A867" s="41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</row>
    <row r="868" ht="14.25" customHeight="1">
      <c r="A868" s="41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</row>
    <row r="869" ht="14.25" customHeight="1">
      <c r="A869" s="41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</row>
    <row r="870" ht="14.25" customHeight="1">
      <c r="A870" s="41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</row>
    <row r="871" ht="14.25" customHeight="1">
      <c r="A871" s="41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</row>
    <row r="872" ht="14.25" customHeight="1">
      <c r="A872" s="41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</row>
    <row r="873" ht="14.25" customHeight="1">
      <c r="A873" s="41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</row>
    <row r="874" ht="14.25" customHeight="1">
      <c r="A874" s="41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</row>
    <row r="875" ht="14.25" customHeight="1">
      <c r="A875" s="41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</row>
    <row r="876" ht="14.25" customHeight="1">
      <c r="A876" s="41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</row>
    <row r="877" ht="14.25" customHeight="1">
      <c r="A877" s="41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</row>
    <row r="878" ht="14.25" customHeight="1">
      <c r="A878" s="41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</row>
    <row r="879" ht="14.25" customHeight="1">
      <c r="A879" s="41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</row>
    <row r="880" ht="14.25" customHeight="1">
      <c r="A880" s="41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</row>
    <row r="881" ht="14.25" customHeight="1">
      <c r="A881" s="41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</row>
    <row r="882" ht="14.25" customHeight="1">
      <c r="A882" s="41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</row>
    <row r="883" ht="14.25" customHeight="1">
      <c r="A883" s="41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</row>
    <row r="884" ht="14.25" customHeight="1">
      <c r="A884" s="41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</row>
    <row r="885" ht="14.25" customHeight="1">
      <c r="A885" s="41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</row>
    <row r="886" ht="14.25" customHeight="1">
      <c r="A886" s="41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</row>
    <row r="887" ht="14.25" customHeight="1">
      <c r="A887" s="41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</row>
    <row r="888" ht="14.25" customHeight="1">
      <c r="A888" s="41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</row>
    <row r="889" ht="14.25" customHeight="1">
      <c r="A889" s="41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</row>
    <row r="890" ht="14.25" customHeight="1">
      <c r="A890" s="41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</row>
    <row r="891" ht="14.25" customHeight="1">
      <c r="A891" s="41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</row>
    <row r="892" ht="14.25" customHeight="1">
      <c r="A892" s="41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</row>
    <row r="893" ht="14.25" customHeight="1">
      <c r="A893" s="41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</row>
    <row r="894" ht="14.25" customHeight="1">
      <c r="A894" s="41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</row>
    <row r="895" ht="14.25" customHeight="1">
      <c r="A895" s="41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</row>
    <row r="896" ht="14.25" customHeight="1">
      <c r="A896" s="41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</row>
    <row r="897" ht="14.25" customHeight="1">
      <c r="A897" s="41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</row>
    <row r="898" ht="14.25" customHeight="1">
      <c r="A898" s="41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</row>
    <row r="899" ht="14.25" customHeight="1">
      <c r="A899" s="41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</row>
    <row r="900" ht="14.25" customHeight="1">
      <c r="A900" s="41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</row>
    <row r="901" ht="14.25" customHeight="1">
      <c r="A901" s="41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</row>
    <row r="902" ht="14.25" customHeight="1">
      <c r="A902" s="41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</row>
    <row r="903" ht="14.25" customHeight="1">
      <c r="A903" s="41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</row>
    <row r="904" ht="14.25" customHeight="1">
      <c r="A904" s="41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</row>
    <row r="905" ht="14.25" customHeight="1">
      <c r="A905" s="41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</row>
    <row r="906" ht="14.25" customHeight="1">
      <c r="A906" s="41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</row>
    <row r="907" ht="14.25" customHeight="1">
      <c r="A907" s="41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</row>
    <row r="908" ht="14.25" customHeight="1">
      <c r="A908" s="41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</row>
    <row r="909" ht="14.25" customHeight="1">
      <c r="A909" s="41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</row>
    <row r="910" ht="14.25" customHeight="1">
      <c r="A910" s="41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</row>
    <row r="911" ht="14.25" customHeight="1">
      <c r="A911" s="41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</row>
    <row r="912" ht="14.25" customHeight="1">
      <c r="A912" s="41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</row>
    <row r="913" ht="14.25" customHeight="1">
      <c r="A913" s="41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</row>
    <row r="914" ht="14.25" customHeight="1">
      <c r="A914" s="41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</row>
    <row r="915" ht="14.25" customHeight="1">
      <c r="A915" s="41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</row>
    <row r="916" ht="14.25" customHeight="1">
      <c r="A916" s="41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</row>
    <row r="917" ht="14.25" customHeight="1">
      <c r="A917" s="41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</row>
    <row r="918" ht="14.25" customHeight="1">
      <c r="A918" s="41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</row>
    <row r="919" ht="14.25" customHeight="1">
      <c r="A919" s="41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</row>
    <row r="920" ht="14.25" customHeight="1">
      <c r="A920" s="41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</row>
    <row r="921" ht="14.25" customHeight="1">
      <c r="A921" s="41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</row>
    <row r="922" ht="14.25" customHeight="1">
      <c r="A922" s="41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</row>
    <row r="923" ht="14.25" customHeight="1">
      <c r="A923" s="41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</row>
    <row r="924" ht="14.25" customHeight="1">
      <c r="A924" s="41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</row>
    <row r="925" ht="14.25" customHeight="1">
      <c r="A925" s="41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</row>
    <row r="926" ht="14.25" customHeight="1">
      <c r="A926" s="41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</row>
    <row r="927" ht="14.25" customHeight="1">
      <c r="A927" s="41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</row>
    <row r="928" ht="14.25" customHeight="1">
      <c r="A928" s="41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</row>
    <row r="929" ht="14.25" customHeight="1">
      <c r="A929" s="41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</row>
    <row r="930" ht="14.25" customHeight="1">
      <c r="A930" s="41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</row>
    <row r="931" ht="14.25" customHeight="1">
      <c r="A931" s="41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</row>
    <row r="932" ht="14.25" customHeight="1">
      <c r="A932" s="41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</row>
    <row r="933" ht="14.25" customHeight="1">
      <c r="A933" s="41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</row>
    <row r="934" ht="14.25" customHeight="1">
      <c r="A934" s="41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</row>
    <row r="935" ht="14.25" customHeight="1">
      <c r="A935" s="41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</row>
    <row r="936" ht="14.25" customHeight="1">
      <c r="A936" s="41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</row>
    <row r="937" ht="14.25" customHeight="1">
      <c r="A937" s="41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</row>
    <row r="938" ht="14.25" customHeight="1">
      <c r="A938" s="41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</row>
    <row r="939" ht="14.25" customHeight="1">
      <c r="A939" s="41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</row>
    <row r="940" ht="14.25" customHeight="1">
      <c r="A940" s="41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</row>
    <row r="941" ht="14.25" customHeight="1">
      <c r="A941" s="41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</row>
    <row r="942" ht="14.25" customHeight="1">
      <c r="A942" s="41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</row>
    <row r="943" ht="14.25" customHeight="1">
      <c r="A943" s="41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</row>
    <row r="944" ht="14.25" customHeight="1">
      <c r="A944" s="41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</row>
    <row r="945" ht="14.25" customHeight="1">
      <c r="A945" s="41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</row>
    <row r="946" ht="14.25" customHeight="1">
      <c r="A946" s="41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</row>
    <row r="947" ht="14.25" customHeight="1">
      <c r="A947" s="41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</row>
    <row r="948" ht="14.25" customHeight="1">
      <c r="A948" s="41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</row>
    <row r="949" ht="14.25" customHeight="1">
      <c r="A949" s="41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</row>
    <row r="950" ht="14.25" customHeight="1">
      <c r="A950" s="41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</row>
    <row r="951" ht="14.25" customHeight="1">
      <c r="A951" s="41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</row>
    <row r="952" ht="14.25" customHeight="1">
      <c r="A952" s="41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</row>
    <row r="953" ht="14.25" customHeight="1">
      <c r="A953" s="41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</row>
    <row r="954" ht="14.25" customHeight="1">
      <c r="A954" s="41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</row>
    <row r="955" ht="14.25" customHeight="1">
      <c r="A955" s="41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</row>
    <row r="956" ht="14.25" customHeight="1">
      <c r="A956" s="41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</row>
    <row r="957" ht="14.25" customHeight="1">
      <c r="A957" s="41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</row>
    <row r="958" ht="14.25" customHeight="1">
      <c r="A958" s="41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</row>
    <row r="959" ht="14.25" customHeight="1">
      <c r="A959" s="41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</row>
    <row r="960" ht="14.25" customHeight="1">
      <c r="A960" s="41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</row>
    <row r="961" ht="14.25" customHeight="1">
      <c r="A961" s="41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</row>
    <row r="962" ht="14.25" customHeight="1">
      <c r="A962" s="41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</row>
    <row r="963" ht="14.25" customHeight="1">
      <c r="A963" s="41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</row>
    <row r="964" ht="14.25" customHeight="1">
      <c r="A964" s="41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</row>
    <row r="965" ht="14.25" customHeight="1">
      <c r="A965" s="41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</row>
    <row r="966" ht="14.25" customHeight="1">
      <c r="A966" s="41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</row>
    <row r="967" ht="14.25" customHeight="1">
      <c r="A967" s="41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</row>
    <row r="968" ht="14.25" customHeight="1">
      <c r="A968" s="41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</row>
    <row r="969" ht="14.25" customHeight="1">
      <c r="A969" s="41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</row>
    <row r="970" ht="14.25" customHeight="1">
      <c r="A970" s="41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</row>
    <row r="971" ht="14.25" customHeight="1">
      <c r="A971" s="41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</row>
    <row r="972" ht="14.25" customHeight="1">
      <c r="A972" s="41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</row>
    <row r="973" ht="14.25" customHeight="1">
      <c r="A973" s="41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</row>
    <row r="974" ht="14.25" customHeight="1">
      <c r="A974" s="41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</row>
    <row r="975" ht="14.25" customHeight="1">
      <c r="A975" s="41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</row>
    <row r="976" ht="14.25" customHeight="1">
      <c r="A976" s="41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</row>
    <row r="977" ht="14.25" customHeight="1">
      <c r="A977" s="41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</row>
    <row r="978" ht="14.25" customHeight="1">
      <c r="A978" s="41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</row>
    <row r="979" ht="14.25" customHeight="1">
      <c r="A979" s="41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</row>
    <row r="980" ht="14.25" customHeight="1">
      <c r="A980" s="41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</row>
    <row r="981" ht="14.25" customHeight="1">
      <c r="A981" s="41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</row>
    <row r="982" ht="14.25" customHeight="1">
      <c r="A982" s="41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</row>
    <row r="983" ht="14.25" customHeight="1">
      <c r="A983" s="41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</row>
    <row r="984" ht="14.25" customHeight="1">
      <c r="A984" s="41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</row>
    <row r="985" ht="14.25" customHeight="1">
      <c r="A985" s="41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</row>
    <row r="986" ht="14.25" customHeight="1">
      <c r="A986" s="41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</row>
    <row r="987" ht="14.25" customHeight="1">
      <c r="A987" s="41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</row>
    <row r="988" ht="14.25" customHeight="1">
      <c r="A988" s="41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</row>
    <row r="989" ht="14.25" customHeight="1">
      <c r="A989" s="41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</row>
    <row r="990" ht="14.25" customHeight="1">
      <c r="A990" s="41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</row>
    <row r="991" ht="14.25" customHeight="1">
      <c r="A991" s="41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</row>
    <row r="992" ht="14.25" customHeight="1">
      <c r="A992" s="41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</row>
    <row r="993" ht="14.25" customHeight="1">
      <c r="A993" s="41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</row>
    <row r="994" ht="14.25" customHeight="1">
      <c r="A994" s="41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</row>
    <row r="995" ht="14.25" customHeight="1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</row>
    <row r="996" ht="14.25" customHeight="1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</row>
    <row r="997" ht="14.25" customHeight="1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</row>
    <row r="998" ht="14.25" customHeight="1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</row>
    <row r="999" ht="14.25" customHeight="1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</row>
    <row r="1000" ht="14.25" customHeight="1">
      <c r="A1000" s="41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</row>
    <row r="1001" ht="14.25" customHeight="1">
      <c r="A1001" s="41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1"/>
      <c r="AR1001" s="41"/>
      <c r="AS1001" s="41"/>
      <c r="AT1001" s="41"/>
      <c r="AU1001" s="41"/>
      <c r="AV1001" s="41"/>
      <c r="AW1001" s="41"/>
      <c r="AX1001" s="41"/>
      <c r="AY1001" s="41"/>
      <c r="AZ1001" s="41"/>
      <c r="BA1001" s="41"/>
      <c r="BB1001" s="41"/>
      <c r="BC1001" s="41"/>
      <c r="BD1001" s="41"/>
      <c r="BE1001" s="41"/>
      <c r="BF1001" s="41"/>
      <c r="BG1001" s="41"/>
      <c r="BH1001" s="41"/>
      <c r="BI1001" s="41"/>
      <c r="BJ1001" s="41"/>
      <c r="BK1001" s="41"/>
      <c r="BL1001" s="41"/>
      <c r="BM1001" s="41"/>
      <c r="BN1001" s="41"/>
      <c r="BO1001" s="41"/>
      <c r="BP1001" s="41"/>
      <c r="BQ1001" s="41"/>
      <c r="BR1001" s="41"/>
      <c r="BS1001" s="41"/>
      <c r="BT1001" s="41"/>
      <c r="BU1001" s="41"/>
    </row>
    <row r="1002" ht="14.25" customHeight="1">
      <c r="A1002" s="41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1"/>
      <c r="AR1002" s="41"/>
      <c r="AS1002" s="41"/>
      <c r="AT1002" s="41"/>
      <c r="AU1002" s="41"/>
      <c r="AV1002" s="41"/>
      <c r="AW1002" s="41"/>
      <c r="AX1002" s="41"/>
      <c r="AY1002" s="41"/>
      <c r="AZ1002" s="41"/>
      <c r="BA1002" s="41"/>
      <c r="BB1002" s="41"/>
      <c r="BC1002" s="41"/>
      <c r="BD1002" s="41"/>
      <c r="BE1002" s="41"/>
      <c r="BF1002" s="41"/>
      <c r="BG1002" s="41"/>
      <c r="BH1002" s="41"/>
      <c r="BI1002" s="41"/>
      <c r="BJ1002" s="41"/>
      <c r="BK1002" s="41"/>
      <c r="BL1002" s="41"/>
      <c r="BM1002" s="41"/>
      <c r="BN1002" s="41"/>
      <c r="BO1002" s="41"/>
      <c r="BP1002" s="41"/>
      <c r="BQ1002" s="41"/>
      <c r="BR1002" s="41"/>
      <c r="BS1002" s="41"/>
      <c r="BT1002" s="41"/>
      <c r="BU1002" s="41"/>
    </row>
    <row r="1003" ht="14.25" customHeight="1">
      <c r="A1003" s="41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1"/>
      <c r="AR1003" s="41"/>
      <c r="AS1003" s="41"/>
      <c r="AT1003" s="41"/>
      <c r="AU1003" s="41"/>
      <c r="AV1003" s="41"/>
      <c r="AW1003" s="41"/>
      <c r="AX1003" s="41"/>
      <c r="AY1003" s="41"/>
      <c r="AZ1003" s="41"/>
      <c r="BA1003" s="41"/>
      <c r="BB1003" s="41"/>
      <c r="BC1003" s="41"/>
      <c r="BD1003" s="41"/>
      <c r="BE1003" s="41"/>
      <c r="BF1003" s="41"/>
      <c r="BG1003" s="41"/>
      <c r="BH1003" s="41"/>
      <c r="BI1003" s="41"/>
      <c r="BJ1003" s="41"/>
      <c r="BK1003" s="41"/>
      <c r="BL1003" s="41"/>
      <c r="BM1003" s="41"/>
      <c r="BN1003" s="41"/>
      <c r="BO1003" s="41"/>
      <c r="BP1003" s="41"/>
      <c r="BQ1003" s="41"/>
      <c r="BR1003" s="41"/>
      <c r="BS1003" s="41"/>
      <c r="BT1003" s="41"/>
      <c r="BU1003" s="41"/>
    </row>
    <row r="1004" ht="14.25" customHeight="1">
      <c r="A1004" s="41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1"/>
      <c r="AR1004" s="41"/>
      <c r="AS1004" s="41"/>
      <c r="AT1004" s="41"/>
      <c r="AU1004" s="41"/>
      <c r="AV1004" s="41"/>
      <c r="AW1004" s="41"/>
      <c r="AX1004" s="41"/>
      <c r="AY1004" s="41"/>
      <c r="AZ1004" s="41"/>
      <c r="BA1004" s="41"/>
      <c r="BB1004" s="41"/>
      <c r="BC1004" s="41"/>
      <c r="BD1004" s="41"/>
      <c r="BE1004" s="41"/>
      <c r="BF1004" s="41"/>
      <c r="BG1004" s="41"/>
      <c r="BH1004" s="41"/>
      <c r="BI1004" s="41"/>
      <c r="BJ1004" s="41"/>
      <c r="BK1004" s="41"/>
      <c r="BL1004" s="41"/>
      <c r="BM1004" s="41"/>
      <c r="BN1004" s="41"/>
      <c r="BO1004" s="41"/>
      <c r="BP1004" s="41"/>
      <c r="BQ1004" s="41"/>
      <c r="BR1004" s="41"/>
      <c r="BS1004" s="41"/>
      <c r="BT1004" s="41"/>
      <c r="BU1004" s="41"/>
    </row>
    <row r="1005" ht="14.25" customHeight="1">
      <c r="A1005" s="41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1"/>
      <c r="AR1005" s="41"/>
      <c r="AS1005" s="41"/>
      <c r="AT1005" s="41"/>
      <c r="AU1005" s="41"/>
      <c r="AV1005" s="41"/>
      <c r="AW1005" s="41"/>
      <c r="AX1005" s="41"/>
      <c r="AY1005" s="41"/>
      <c r="AZ1005" s="41"/>
      <c r="BA1005" s="41"/>
      <c r="BB1005" s="41"/>
      <c r="BC1005" s="41"/>
      <c r="BD1005" s="41"/>
      <c r="BE1005" s="41"/>
      <c r="BF1005" s="41"/>
      <c r="BG1005" s="41"/>
      <c r="BH1005" s="41"/>
      <c r="BI1005" s="41"/>
      <c r="BJ1005" s="41"/>
      <c r="BK1005" s="41"/>
      <c r="BL1005" s="41"/>
      <c r="BM1005" s="41"/>
      <c r="BN1005" s="41"/>
      <c r="BO1005" s="41"/>
      <c r="BP1005" s="41"/>
      <c r="BQ1005" s="41"/>
      <c r="BR1005" s="41"/>
      <c r="BS1005" s="41"/>
      <c r="BT1005" s="41"/>
      <c r="BU1005" s="41"/>
    </row>
    <row r="1006" ht="14.25" customHeight="1">
      <c r="A1006" s="41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1"/>
      <c r="AR1006" s="41"/>
      <c r="AS1006" s="41"/>
      <c r="AT1006" s="41"/>
      <c r="AU1006" s="41"/>
      <c r="AV1006" s="41"/>
      <c r="AW1006" s="41"/>
      <c r="AX1006" s="41"/>
      <c r="AY1006" s="41"/>
      <c r="AZ1006" s="41"/>
      <c r="BA1006" s="41"/>
      <c r="BB1006" s="41"/>
      <c r="BC1006" s="41"/>
      <c r="BD1006" s="41"/>
      <c r="BE1006" s="41"/>
      <c r="BF1006" s="41"/>
      <c r="BG1006" s="41"/>
      <c r="BH1006" s="41"/>
      <c r="BI1006" s="41"/>
      <c r="BJ1006" s="41"/>
      <c r="BK1006" s="41"/>
      <c r="BL1006" s="41"/>
      <c r="BM1006" s="41"/>
      <c r="BN1006" s="41"/>
      <c r="BO1006" s="41"/>
      <c r="BP1006" s="41"/>
      <c r="BQ1006" s="41"/>
      <c r="BR1006" s="41"/>
      <c r="BS1006" s="41"/>
      <c r="BT1006" s="41"/>
      <c r="BU1006" s="41"/>
    </row>
    <row r="1007" ht="14.25" customHeight="1">
      <c r="A1007" s="41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1"/>
      <c r="AR1007" s="41"/>
      <c r="AS1007" s="41"/>
      <c r="AT1007" s="41"/>
      <c r="AU1007" s="41"/>
      <c r="AV1007" s="41"/>
      <c r="AW1007" s="41"/>
      <c r="AX1007" s="41"/>
      <c r="AY1007" s="41"/>
      <c r="AZ1007" s="41"/>
      <c r="BA1007" s="41"/>
      <c r="BB1007" s="41"/>
      <c r="BC1007" s="41"/>
      <c r="BD1007" s="41"/>
      <c r="BE1007" s="41"/>
      <c r="BF1007" s="41"/>
      <c r="BG1007" s="41"/>
      <c r="BH1007" s="41"/>
      <c r="BI1007" s="41"/>
      <c r="BJ1007" s="41"/>
      <c r="BK1007" s="41"/>
      <c r="BL1007" s="41"/>
      <c r="BM1007" s="41"/>
      <c r="BN1007" s="41"/>
      <c r="BO1007" s="41"/>
      <c r="BP1007" s="41"/>
      <c r="BQ1007" s="41"/>
      <c r="BR1007" s="41"/>
      <c r="BS1007" s="41"/>
      <c r="BT1007" s="41"/>
      <c r="BU1007" s="41"/>
    </row>
    <row r="1008" ht="14.25" customHeight="1">
      <c r="A1008" s="41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1"/>
      <c r="AR1008" s="41"/>
      <c r="AS1008" s="41"/>
      <c r="AT1008" s="41"/>
      <c r="AU1008" s="41"/>
      <c r="AV1008" s="41"/>
      <c r="AW1008" s="41"/>
      <c r="AX1008" s="41"/>
      <c r="AY1008" s="41"/>
      <c r="AZ1008" s="41"/>
      <c r="BA1008" s="41"/>
      <c r="BB1008" s="41"/>
      <c r="BC1008" s="41"/>
      <c r="BD1008" s="41"/>
      <c r="BE1008" s="41"/>
      <c r="BF1008" s="41"/>
      <c r="BG1008" s="41"/>
      <c r="BH1008" s="41"/>
      <c r="BI1008" s="41"/>
      <c r="BJ1008" s="41"/>
      <c r="BK1008" s="41"/>
      <c r="BL1008" s="41"/>
      <c r="BM1008" s="41"/>
      <c r="BN1008" s="41"/>
      <c r="BO1008" s="41"/>
      <c r="BP1008" s="41"/>
      <c r="BQ1008" s="41"/>
      <c r="BR1008" s="41"/>
      <c r="BS1008" s="41"/>
      <c r="BT1008" s="41"/>
      <c r="BU1008" s="41"/>
    </row>
    <row r="1009" ht="14.25" customHeight="1">
      <c r="A1009" s="41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1"/>
      <c r="AR1009" s="41"/>
      <c r="AS1009" s="41"/>
      <c r="AT1009" s="41"/>
      <c r="AU1009" s="41"/>
      <c r="AV1009" s="41"/>
      <c r="AW1009" s="41"/>
      <c r="AX1009" s="41"/>
      <c r="AY1009" s="41"/>
      <c r="AZ1009" s="41"/>
      <c r="BA1009" s="41"/>
      <c r="BB1009" s="41"/>
      <c r="BC1009" s="41"/>
      <c r="BD1009" s="41"/>
      <c r="BE1009" s="41"/>
      <c r="BF1009" s="41"/>
      <c r="BG1009" s="41"/>
      <c r="BH1009" s="41"/>
      <c r="BI1009" s="41"/>
      <c r="BJ1009" s="41"/>
      <c r="BK1009" s="41"/>
      <c r="BL1009" s="41"/>
      <c r="BM1009" s="41"/>
      <c r="BN1009" s="41"/>
      <c r="BO1009" s="41"/>
      <c r="BP1009" s="41"/>
      <c r="BQ1009" s="41"/>
      <c r="BR1009" s="41"/>
      <c r="BS1009" s="41"/>
      <c r="BT1009" s="41"/>
      <c r="BU1009" s="41"/>
    </row>
    <row r="1010" ht="14.25" customHeight="1">
      <c r="A1010" s="41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1"/>
      <c r="AR1010" s="41"/>
      <c r="AS1010" s="41"/>
      <c r="AT1010" s="41"/>
      <c r="AU1010" s="41"/>
      <c r="AV1010" s="41"/>
      <c r="AW1010" s="41"/>
      <c r="AX1010" s="41"/>
      <c r="AY1010" s="41"/>
      <c r="AZ1010" s="41"/>
      <c r="BA1010" s="41"/>
      <c r="BB1010" s="41"/>
      <c r="BC1010" s="41"/>
      <c r="BD1010" s="41"/>
      <c r="BE1010" s="41"/>
      <c r="BF1010" s="41"/>
      <c r="BG1010" s="41"/>
      <c r="BH1010" s="41"/>
      <c r="BI1010" s="41"/>
      <c r="BJ1010" s="41"/>
      <c r="BK1010" s="41"/>
      <c r="BL1010" s="41"/>
      <c r="BM1010" s="41"/>
      <c r="BN1010" s="41"/>
      <c r="BO1010" s="41"/>
      <c r="BP1010" s="41"/>
      <c r="BQ1010" s="41"/>
      <c r="BR1010" s="41"/>
      <c r="BS1010" s="41"/>
      <c r="BT1010" s="41"/>
      <c r="BU1010" s="41"/>
    </row>
    <row r="1011" ht="14.25" customHeight="1">
      <c r="A1011" s="41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1"/>
      <c r="AR1011" s="41"/>
      <c r="AS1011" s="41"/>
      <c r="AT1011" s="41"/>
      <c r="AU1011" s="41"/>
      <c r="AV1011" s="41"/>
      <c r="AW1011" s="41"/>
      <c r="AX1011" s="41"/>
      <c r="AY1011" s="41"/>
      <c r="AZ1011" s="41"/>
      <c r="BA1011" s="41"/>
      <c r="BB1011" s="41"/>
      <c r="BC1011" s="41"/>
      <c r="BD1011" s="41"/>
      <c r="BE1011" s="41"/>
      <c r="BF1011" s="41"/>
      <c r="BG1011" s="41"/>
      <c r="BH1011" s="41"/>
      <c r="BI1011" s="41"/>
      <c r="BJ1011" s="41"/>
      <c r="BK1011" s="41"/>
      <c r="BL1011" s="41"/>
      <c r="BM1011" s="41"/>
      <c r="BN1011" s="41"/>
      <c r="BO1011" s="41"/>
      <c r="BP1011" s="41"/>
      <c r="BQ1011" s="41"/>
      <c r="BR1011" s="41"/>
      <c r="BS1011" s="41"/>
      <c r="BT1011" s="41"/>
      <c r="BU1011" s="41"/>
    </row>
    <row r="1012" ht="14.25" customHeight="1">
      <c r="A1012" s="41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1"/>
      <c r="AR1012" s="41"/>
      <c r="AS1012" s="41"/>
      <c r="AT1012" s="41"/>
      <c r="AU1012" s="41"/>
      <c r="AV1012" s="41"/>
      <c r="AW1012" s="41"/>
      <c r="AX1012" s="41"/>
      <c r="AY1012" s="41"/>
      <c r="AZ1012" s="41"/>
      <c r="BA1012" s="41"/>
      <c r="BB1012" s="41"/>
      <c r="BC1012" s="41"/>
      <c r="BD1012" s="41"/>
      <c r="BE1012" s="41"/>
      <c r="BF1012" s="41"/>
      <c r="BG1012" s="41"/>
      <c r="BH1012" s="41"/>
      <c r="BI1012" s="41"/>
      <c r="BJ1012" s="41"/>
      <c r="BK1012" s="41"/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</row>
    <row r="1013" ht="14.25" customHeight="1">
      <c r="A1013" s="41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1"/>
      <c r="AR1013" s="41"/>
      <c r="AS1013" s="41"/>
      <c r="AT1013" s="41"/>
      <c r="AU1013" s="41"/>
      <c r="AV1013" s="41"/>
      <c r="AW1013" s="41"/>
      <c r="AX1013" s="41"/>
      <c r="AY1013" s="41"/>
      <c r="AZ1013" s="41"/>
      <c r="BA1013" s="41"/>
      <c r="BB1013" s="41"/>
      <c r="BC1013" s="41"/>
      <c r="BD1013" s="41"/>
      <c r="BE1013" s="41"/>
      <c r="BF1013" s="41"/>
      <c r="BG1013" s="41"/>
      <c r="BH1013" s="41"/>
      <c r="BI1013" s="41"/>
      <c r="BJ1013" s="41"/>
      <c r="BK1013" s="41"/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</row>
    <row r="1014" ht="14.25" customHeight="1">
      <c r="A1014" s="41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1"/>
      <c r="AR1014" s="41"/>
      <c r="AS1014" s="41"/>
      <c r="AT1014" s="41"/>
      <c r="AU1014" s="41"/>
      <c r="AV1014" s="41"/>
      <c r="AW1014" s="41"/>
      <c r="AX1014" s="41"/>
      <c r="AY1014" s="41"/>
      <c r="AZ1014" s="41"/>
      <c r="BA1014" s="41"/>
      <c r="BB1014" s="41"/>
      <c r="BC1014" s="41"/>
      <c r="BD1014" s="41"/>
      <c r="BE1014" s="41"/>
      <c r="BF1014" s="41"/>
      <c r="BG1014" s="41"/>
      <c r="BH1014" s="41"/>
      <c r="BI1014" s="41"/>
      <c r="BJ1014" s="41"/>
      <c r="BK1014" s="41"/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</row>
    <row r="1015" ht="14.25" customHeight="1">
      <c r="A1015" s="41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1"/>
      <c r="AR1015" s="41"/>
      <c r="AS1015" s="41"/>
      <c r="AT1015" s="41"/>
      <c r="AU1015" s="41"/>
      <c r="AV1015" s="41"/>
      <c r="AW1015" s="41"/>
      <c r="AX1015" s="41"/>
      <c r="AY1015" s="41"/>
      <c r="AZ1015" s="41"/>
      <c r="BA1015" s="41"/>
      <c r="BB1015" s="41"/>
      <c r="BC1015" s="41"/>
      <c r="BD1015" s="41"/>
      <c r="BE1015" s="41"/>
      <c r="BF1015" s="41"/>
      <c r="BG1015" s="41"/>
      <c r="BH1015" s="41"/>
      <c r="BI1015" s="41"/>
      <c r="BJ1015" s="41"/>
      <c r="BK1015" s="41"/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</row>
    <row r="1016" ht="14.25" customHeight="1">
      <c r="A1016" s="41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/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</row>
    <row r="1017" ht="14.25" customHeight="1">
      <c r="A1017" s="41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1"/>
      <c r="AR1017" s="41"/>
      <c r="AS1017" s="41"/>
      <c r="AT1017" s="41"/>
      <c r="AU1017" s="41"/>
      <c r="AV1017" s="41"/>
      <c r="AW1017" s="41"/>
      <c r="AX1017" s="41"/>
      <c r="AY1017" s="41"/>
      <c r="AZ1017" s="41"/>
      <c r="BA1017" s="41"/>
      <c r="BB1017" s="41"/>
      <c r="BC1017" s="41"/>
      <c r="BD1017" s="41"/>
      <c r="BE1017" s="41"/>
      <c r="BF1017" s="41"/>
      <c r="BG1017" s="41"/>
      <c r="BH1017" s="41"/>
      <c r="BI1017" s="41"/>
      <c r="BJ1017" s="41"/>
      <c r="BK1017" s="41"/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</row>
    <row r="1018" ht="14.25" customHeight="1">
      <c r="A1018" s="41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1"/>
      <c r="AR1018" s="41"/>
      <c r="AS1018" s="41"/>
      <c r="AT1018" s="41"/>
      <c r="AU1018" s="41"/>
      <c r="AV1018" s="41"/>
      <c r="AW1018" s="41"/>
      <c r="AX1018" s="41"/>
      <c r="AY1018" s="41"/>
      <c r="AZ1018" s="41"/>
      <c r="BA1018" s="41"/>
      <c r="BB1018" s="41"/>
      <c r="BC1018" s="41"/>
      <c r="BD1018" s="41"/>
      <c r="BE1018" s="41"/>
      <c r="BF1018" s="41"/>
      <c r="BG1018" s="41"/>
      <c r="BH1018" s="41"/>
      <c r="BI1018" s="41"/>
      <c r="BJ1018" s="41"/>
      <c r="BK1018" s="41"/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</row>
  </sheetData>
  <mergeCells count="200">
    <mergeCell ref="H2:J2"/>
    <mergeCell ref="M2:O2"/>
    <mergeCell ref="R2:T2"/>
    <mergeCell ref="W2:Y2"/>
    <mergeCell ref="AB2:AD2"/>
    <mergeCell ref="AG2:AI2"/>
    <mergeCell ref="AL2:AN2"/>
    <mergeCell ref="AG26:AI26"/>
    <mergeCell ref="AL26:AN26"/>
    <mergeCell ref="C2:E2"/>
    <mergeCell ref="C26:E26"/>
    <mergeCell ref="H26:J26"/>
    <mergeCell ref="M26:O26"/>
    <mergeCell ref="R26:T26"/>
    <mergeCell ref="W26:Y26"/>
    <mergeCell ref="AB26:AD26"/>
    <mergeCell ref="H50:J50"/>
    <mergeCell ref="M50:O50"/>
    <mergeCell ref="R50:T50"/>
    <mergeCell ref="W50:Y50"/>
    <mergeCell ref="AB50:AD50"/>
    <mergeCell ref="AG50:AI50"/>
    <mergeCell ref="AL50:AN50"/>
    <mergeCell ref="AG51:AI51"/>
    <mergeCell ref="AL51:AN51"/>
    <mergeCell ref="AG52:AI52"/>
    <mergeCell ref="AL52:AN52"/>
    <mergeCell ref="H51:J51"/>
    <mergeCell ref="H52:J52"/>
    <mergeCell ref="AB51:AD51"/>
    <mergeCell ref="AB52:AD52"/>
    <mergeCell ref="R51:T51"/>
    <mergeCell ref="R52:T52"/>
    <mergeCell ref="R53:T53"/>
    <mergeCell ref="C50:E50"/>
    <mergeCell ref="C51:E51"/>
    <mergeCell ref="M51:O51"/>
    <mergeCell ref="W51:Y51"/>
    <mergeCell ref="C52:E52"/>
    <mergeCell ref="M52:O52"/>
    <mergeCell ref="W52:Y52"/>
    <mergeCell ref="AB53:AD53"/>
    <mergeCell ref="AB54:AD54"/>
    <mergeCell ref="AB55:AD55"/>
    <mergeCell ref="AG55:AI55"/>
    <mergeCell ref="AB56:AD56"/>
    <mergeCell ref="AG56:AI56"/>
    <mergeCell ref="AB57:AD57"/>
    <mergeCell ref="AG57:AI57"/>
    <mergeCell ref="AL53:AN53"/>
    <mergeCell ref="AL54:AN54"/>
    <mergeCell ref="AL55:AN55"/>
    <mergeCell ref="AL56:AN56"/>
    <mergeCell ref="AL57:AN57"/>
    <mergeCell ref="C53:E53"/>
    <mergeCell ref="M53:O53"/>
    <mergeCell ref="W53:Y53"/>
    <mergeCell ref="AG53:AI53"/>
    <mergeCell ref="C54:E54"/>
    <mergeCell ref="W54:Y54"/>
    <mergeCell ref="AG54:AI54"/>
    <mergeCell ref="M56:O56"/>
    <mergeCell ref="M57:O57"/>
    <mergeCell ref="R57:T57"/>
    <mergeCell ref="W57:Y57"/>
    <mergeCell ref="M54:O54"/>
    <mergeCell ref="R54:T54"/>
    <mergeCell ref="M55:O55"/>
    <mergeCell ref="R55:T55"/>
    <mergeCell ref="W55:Y55"/>
    <mergeCell ref="R56:T56"/>
    <mergeCell ref="W56:Y56"/>
    <mergeCell ref="M63:O63"/>
    <mergeCell ref="M64:O64"/>
    <mergeCell ref="H60:J60"/>
    <mergeCell ref="H61:J61"/>
    <mergeCell ref="M61:O61"/>
    <mergeCell ref="H62:J62"/>
    <mergeCell ref="M62:O62"/>
    <mergeCell ref="H63:J63"/>
    <mergeCell ref="H64:J64"/>
    <mergeCell ref="H66:J66"/>
    <mergeCell ref="M66:O66"/>
    <mergeCell ref="R66:T66"/>
    <mergeCell ref="W66:Y66"/>
    <mergeCell ref="M67:O67"/>
    <mergeCell ref="R67:T67"/>
    <mergeCell ref="W67:Y67"/>
    <mergeCell ref="W68:Y68"/>
    <mergeCell ref="W69:Y69"/>
    <mergeCell ref="W70:Y70"/>
    <mergeCell ref="W71:Y71"/>
    <mergeCell ref="W72:Y72"/>
    <mergeCell ref="M69:O69"/>
    <mergeCell ref="M70:O70"/>
    <mergeCell ref="M71:O71"/>
    <mergeCell ref="M72:O72"/>
    <mergeCell ref="H70:J70"/>
    <mergeCell ref="H71:J71"/>
    <mergeCell ref="H72:J72"/>
    <mergeCell ref="R71:T71"/>
    <mergeCell ref="R72:T72"/>
    <mergeCell ref="H67:J67"/>
    <mergeCell ref="H68:J68"/>
    <mergeCell ref="M68:O68"/>
    <mergeCell ref="R68:T68"/>
    <mergeCell ref="H69:J69"/>
    <mergeCell ref="R69:T69"/>
    <mergeCell ref="R70:T70"/>
    <mergeCell ref="AG64:AI64"/>
    <mergeCell ref="AG66:AI66"/>
    <mergeCell ref="AG67:AI67"/>
    <mergeCell ref="AG68:AI68"/>
    <mergeCell ref="AG69:AI69"/>
    <mergeCell ref="AG70:AI70"/>
    <mergeCell ref="AG71:AI71"/>
    <mergeCell ref="AG72:AI72"/>
    <mergeCell ref="AB59:AD59"/>
    <mergeCell ref="AB60:AD60"/>
    <mergeCell ref="AB61:AD61"/>
    <mergeCell ref="AG61:AI61"/>
    <mergeCell ref="AB62:AD62"/>
    <mergeCell ref="AG62:AI62"/>
    <mergeCell ref="AG63:AI63"/>
    <mergeCell ref="AB71:AD71"/>
    <mergeCell ref="AB72:AD72"/>
    <mergeCell ref="AB63:AD63"/>
    <mergeCell ref="AB64:AD64"/>
    <mergeCell ref="AB66:AD66"/>
    <mergeCell ref="AB67:AD67"/>
    <mergeCell ref="AB68:AD68"/>
    <mergeCell ref="AB69:AD69"/>
    <mergeCell ref="AB70:AD70"/>
    <mergeCell ref="C65:E65"/>
    <mergeCell ref="C66:E66"/>
    <mergeCell ref="C67:E67"/>
    <mergeCell ref="C68:E68"/>
    <mergeCell ref="C69:E69"/>
    <mergeCell ref="C70:E70"/>
    <mergeCell ref="C71:E71"/>
    <mergeCell ref="C72:E72"/>
    <mergeCell ref="C56:E56"/>
    <mergeCell ref="C59:E59"/>
    <mergeCell ref="C60:E60"/>
    <mergeCell ref="C61:E61"/>
    <mergeCell ref="C62:E62"/>
    <mergeCell ref="C63:E63"/>
    <mergeCell ref="C64:E64"/>
    <mergeCell ref="C57:E57"/>
    <mergeCell ref="C58:E58"/>
    <mergeCell ref="M58:O58"/>
    <mergeCell ref="R58:T58"/>
    <mergeCell ref="W58:Y58"/>
    <mergeCell ref="AB58:AD58"/>
    <mergeCell ref="AG58:AI58"/>
    <mergeCell ref="AL58:AN58"/>
    <mergeCell ref="H59:J59"/>
    <mergeCell ref="M59:O59"/>
    <mergeCell ref="W59:Y59"/>
    <mergeCell ref="AG59:AI59"/>
    <mergeCell ref="M60:O60"/>
    <mergeCell ref="W60:Y60"/>
    <mergeCell ref="AG60:AI60"/>
    <mergeCell ref="H53:J53"/>
    <mergeCell ref="H54:J54"/>
    <mergeCell ref="C55:E55"/>
    <mergeCell ref="H55:J55"/>
    <mergeCell ref="H56:J56"/>
    <mergeCell ref="H57:J57"/>
    <mergeCell ref="H58:J58"/>
    <mergeCell ref="R63:T63"/>
    <mergeCell ref="R64:T64"/>
    <mergeCell ref="H65:J65"/>
    <mergeCell ref="M65:O65"/>
    <mergeCell ref="R65:T65"/>
    <mergeCell ref="W64:Y64"/>
    <mergeCell ref="W65:Y65"/>
    <mergeCell ref="AB65:AD65"/>
    <mergeCell ref="AG65:AI65"/>
    <mergeCell ref="R59:T59"/>
    <mergeCell ref="R60:T60"/>
    <mergeCell ref="R61:T61"/>
    <mergeCell ref="W61:Y61"/>
    <mergeCell ref="R62:T62"/>
    <mergeCell ref="W62:Y62"/>
    <mergeCell ref="W63:Y63"/>
    <mergeCell ref="AL66:AN66"/>
    <mergeCell ref="AL67:AN67"/>
    <mergeCell ref="AL68:AN68"/>
    <mergeCell ref="AL69:AN69"/>
    <mergeCell ref="AL70:AN70"/>
    <mergeCell ref="AL71:AN71"/>
    <mergeCell ref="AL72:AN72"/>
    <mergeCell ref="AL59:AN59"/>
    <mergeCell ref="AL60:AN60"/>
    <mergeCell ref="AL61:AN61"/>
    <mergeCell ref="AL62:AN62"/>
    <mergeCell ref="AL63:AN63"/>
    <mergeCell ref="AL64:AN64"/>
    <mergeCell ref="AL65:AN6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/>
  <cols>
    <col customWidth="1" min="1" max="1" width="6.13"/>
    <col customWidth="1" min="2" max="2" width="14.88"/>
    <col customWidth="1" min="3" max="3" width="16.75"/>
    <col customWidth="1" min="4" max="4" width="3.63"/>
    <col customWidth="1" min="5" max="5" width="17.25"/>
    <col customWidth="1" min="6" max="6" width="9.63" outlineLevel="1"/>
    <col customWidth="1" min="7" max="7" width="9.0" outlineLevel="1"/>
    <col customWidth="1" min="8" max="8" width="16.75"/>
    <col customWidth="1" min="9" max="9" width="3.63"/>
    <col customWidth="1" min="10" max="10" width="17.25"/>
    <col customWidth="1" min="11" max="12" width="9.0" outlineLevel="1"/>
    <col customWidth="1" min="13" max="13" width="16.75"/>
    <col customWidth="1" min="14" max="14" width="3.63"/>
    <col customWidth="1" min="15" max="15" width="17.25"/>
    <col customWidth="1" min="16" max="17" width="9.0" outlineLevel="1"/>
    <col customWidth="1" min="18" max="18" width="13.5"/>
    <col customWidth="1" min="19" max="19" width="3.63"/>
    <col customWidth="1" min="20" max="20" width="13.25"/>
    <col customWidth="1" min="21" max="22" width="9.0" outlineLevel="1"/>
    <col customWidth="1" min="23" max="24" width="8.0"/>
  </cols>
  <sheetData>
    <row r="1" ht="14.25" customHeight="1">
      <c r="A1" s="41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1"/>
      <c r="X1" s="41"/>
    </row>
    <row r="2" ht="14.25" customHeight="1">
      <c r="A2" s="41"/>
      <c r="B2" s="1"/>
      <c r="C2" s="70" t="s">
        <v>126</v>
      </c>
      <c r="D2" s="61"/>
      <c r="E2" s="62"/>
      <c r="F2" s="1" t="s">
        <v>88</v>
      </c>
      <c r="G2" s="1" t="s">
        <v>89</v>
      </c>
      <c r="H2" s="42" t="s">
        <v>127</v>
      </c>
      <c r="I2" s="43"/>
      <c r="J2" s="44"/>
      <c r="K2" s="1" t="s">
        <v>88</v>
      </c>
      <c r="L2" s="1" t="s">
        <v>89</v>
      </c>
      <c r="M2" s="42" t="s">
        <v>128</v>
      </c>
      <c r="N2" s="43"/>
      <c r="O2" s="44"/>
      <c r="P2" s="1" t="s">
        <v>88</v>
      </c>
      <c r="Q2" s="1" t="s">
        <v>89</v>
      </c>
      <c r="R2" s="42" t="s">
        <v>129</v>
      </c>
      <c r="S2" s="43"/>
      <c r="T2" s="44"/>
      <c r="U2" s="1" t="s">
        <v>88</v>
      </c>
      <c r="V2" s="1" t="s">
        <v>89</v>
      </c>
      <c r="W2" s="41"/>
      <c r="X2" s="1" t="s">
        <v>97</v>
      </c>
    </row>
    <row r="3" ht="14.25" customHeight="1">
      <c r="A3" s="40"/>
      <c r="B3" s="45" t="s">
        <v>9</v>
      </c>
      <c r="C3" s="9" t="str">
        <f>VLOOKUP($B3,Form_Quartas!$C$2:$W$57,2,FALSE)</f>
        <v>#N/A</v>
      </c>
      <c r="D3" s="9" t="s">
        <v>98</v>
      </c>
      <c r="E3" s="9" t="str">
        <f>VLOOKUP($B3,Form_Quartas!$C$2:$W$57,3,FALSE)</f>
        <v>#N/A</v>
      </c>
      <c r="F3" s="47" t="str">
        <f t="shared" ref="F3:F23" si="1">IF(C3&gt;E3,"casa",IF(C3=E3,"empate","visita"))</f>
        <v>#N/A</v>
      </c>
      <c r="G3" s="48" t="str">
        <f>IF(C3=QUARTAS!C$24,IF(QUARTAS!E$24=E3,Pesos!$O$6,IF(F3=QUARTAS!F$24,Pesos!$O$3,0)),IF(F3=QUARTAS!F$24,Pesos!$O$3,0))*IF(COUNTIF(F$3:F$23,F3)=1,2,1)</f>
        <v>#N/A</v>
      </c>
      <c r="H3" s="9" t="str">
        <f>VLOOKUP($B3,Form_Quartas!$C$2:$W$57,7,FALSE)</f>
        <v>#N/A</v>
      </c>
      <c r="I3" s="9" t="s">
        <v>98</v>
      </c>
      <c r="J3" s="9" t="str">
        <f>VLOOKUP($B3,Form_Quartas!$C$2:$W$57,8,FALSE)</f>
        <v>#N/A</v>
      </c>
      <c r="K3" s="47" t="str">
        <f t="shared" ref="K3:K23" si="2">IF(H3&gt;J3,"casa",IF(H3=J3,"empate","visita"))</f>
        <v>#N/A</v>
      </c>
      <c r="L3" s="48" t="str">
        <f>IF(H3=QUARTAS!H$24,IF(QUARTAS!J$24=J3,Pesos!$O$6,IF(K3=QUARTAS!K$24,Pesos!$O$3,0)),IF(K3=QUARTAS!K$24,Pesos!$O$3,0))*IF(COUNTIF(K$3:K$23,K3)=1,2,1)</f>
        <v>#N/A</v>
      </c>
      <c r="M3" s="9" t="str">
        <f>VLOOKUP($B3,Form_Quartas!$C$2:$W$57,12,FALSE)</f>
        <v>#N/A</v>
      </c>
      <c r="N3" s="9" t="s">
        <v>98</v>
      </c>
      <c r="O3" s="9" t="str">
        <f>VLOOKUP($B3,Form_Quartas!$C$2:$W$57,13,FALSE)</f>
        <v>#N/A</v>
      </c>
      <c r="P3" s="47" t="str">
        <f t="shared" ref="P3:P23" si="3">IF(M3&gt;O3,"casa",IF(M3=O3,"empate","visita"))</f>
        <v>#N/A</v>
      </c>
      <c r="Q3" s="48" t="str">
        <f>IF(M3=QUARTAS!M$24,IF(QUARTAS!O$24=O3,Pesos!$O$6,IF(P3=QUARTAS!P$24,Pesos!$O$3,0)),IF(P3=QUARTAS!P$24,Pesos!$O$3,0))*IF(COUNTIF(P$3:P$23,P3)=1,2,1)</f>
        <v>#N/A</v>
      </c>
      <c r="R3" s="9" t="str">
        <f>VLOOKUP($B3,Form_Quartas!$C$2:$W$57,17,FALSE)</f>
        <v>#N/A</v>
      </c>
      <c r="S3" s="9" t="s">
        <v>98</v>
      </c>
      <c r="T3" s="9" t="str">
        <f>VLOOKUP($B3,Form_Quartas!$C$2:$W$57,18,FALSE)</f>
        <v>#N/A</v>
      </c>
      <c r="U3" s="47" t="str">
        <f t="shared" ref="U3:U23" si="4">IF(R3&gt;T3,"casa",IF(R3=T3,"empate","visita"))</f>
        <v>#N/A</v>
      </c>
      <c r="V3" s="48" t="str">
        <f>IF(R3=QUARTAS!R$24,IF(QUARTAS!T$24=T3,Pesos!$O$6,IF(U3=QUARTAS!U$24,Pesos!$O$3,0)),IF(U3=QUARTAS!U$24,Pesos!$O$3,0))*IF(COUNTIF(U$3:U$23,U3)=1,2,1)</f>
        <v>#N/A</v>
      </c>
      <c r="W3" s="41"/>
      <c r="X3" s="41" t="str">
        <f t="shared" ref="X3:X23" si="5">IF(L3=0,0,1)+IF(Q3=0,0,1)+IF(V3=0,0,1)+IF(G3=0,0,1)</f>
        <v>#N/A</v>
      </c>
    </row>
    <row r="4" ht="14.25" customHeight="1">
      <c r="A4" s="40"/>
      <c r="B4" s="51" t="s">
        <v>10</v>
      </c>
      <c r="C4" s="9" t="str">
        <f>VLOOKUP($B4,Form_Quartas!$C$2:$W$57,2,FALSE)</f>
        <v>#N/A</v>
      </c>
      <c r="D4" s="48" t="s">
        <v>98</v>
      </c>
      <c r="E4" s="9" t="str">
        <f>VLOOKUP($B4,Form_Quartas!$C$2:$W$57,3,FALSE)</f>
        <v>#N/A</v>
      </c>
      <c r="F4" s="47" t="str">
        <f t="shared" si="1"/>
        <v>#N/A</v>
      </c>
      <c r="G4" s="48" t="str">
        <f>IF(C4=QUARTAS!C$24,IF(QUARTAS!E$24=E4,Pesos!$O$6,IF(F4=QUARTAS!F$24,Pesos!$O$3,0)),IF(F4=QUARTAS!F$24,Pesos!$O$3,0))*IF(COUNTIF(F$3:F$23,F4)=1,2,1)</f>
        <v>#N/A</v>
      </c>
      <c r="H4" s="9" t="str">
        <f>VLOOKUP($B4,Form_Quartas!$C$2:$W$57,7,FALSE)</f>
        <v>#N/A</v>
      </c>
      <c r="I4" s="48" t="s">
        <v>98</v>
      </c>
      <c r="J4" s="9" t="str">
        <f>VLOOKUP($B4,Form_Quartas!$C$2:$W$57,8,FALSE)</f>
        <v>#N/A</v>
      </c>
      <c r="K4" s="47" t="str">
        <f t="shared" si="2"/>
        <v>#N/A</v>
      </c>
      <c r="L4" s="48" t="str">
        <f>IF(H4=QUARTAS!H$24,IF(QUARTAS!J$24=J4,Pesos!$O$6,IF(K4=QUARTAS!K$24,Pesos!$O$3,0)),IF(K4=QUARTAS!K$24,Pesos!$O$3,0))*IF(COUNTIF(K$3:K$23,K4)=1,2,1)</f>
        <v>#N/A</v>
      </c>
      <c r="M4" s="9" t="str">
        <f>VLOOKUP($B4,Form_Quartas!$C$2:$W$57,12,FALSE)</f>
        <v>#N/A</v>
      </c>
      <c r="N4" s="48" t="s">
        <v>98</v>
      </c>
      <c r="O4" s="9" t="str">
        <f>VLOOKUP($B4,Form_Quartas!$C$2:$W$57,13,FALSE)</f>
        <v>#N/A</v>
      </c>
      <c r="P4" s="47" t="str">
        <f t="shared" si="3"/>
        <v>#N/A</v>
      </c>
      <c r="Q4" s="48" t="str">
        <f>IF(M4=QUARTAS!M$24,IF(QUARTAS!O$24=O4,Pesos!$O$6,IF(P4=QUARTAS!P$24,Pesos!$O$3,0)),IF(P4=QUARTAS!P$24,Pesos!$O$3,0))*IF(COUNTIF(P$3:P$23,P4)=1,2,1)</f>
        <v>#N/A</v>
      </c>
      <c r="R4" s="9" t="str">
        <f>VLOOKUP($B4,Form_Quartas!$C$2:$W$57,17,FALSE)</f>
        <v>#N/A</v>
      </c>
      <c r="S4" s="48" t="s">
        <v>98</v>
      </c>
      <c r="T4" s="9" t="str">
        <f>VLOOKUP($B4,Form_Quartas!$C$2:$W$57,18,FALSE)</f>
        <v>#N/A</v>
      </c>
      <c r="U4" s="47" t="str">
        <f t="shared" si="4"/>
        <v>#N/A</v>
      </c>
      <c r="V4" s="48" t="str">
        <f>IF(R4=QUARTAS!R$24,IF(QUARTAS!T$24=T4,Pesos!$O$6,IF(U4=QUARTAS!U$24,Pesos!$O$3,0)),IF(U4=QUARTAS!U$24,Pesos!$O$3,0))*IF(COUNTIF(U$3:U$23,U4)=1,2,1)</f>
        <v>#N/A</v>
      </c>
      <c r="W4" s="41"/>
      <c r="X4" s="41" t="str">
        <f t="shared" si="5"/>
        <v>#N/A</v>
      </c>
    </row>
    <row r="5" ht="14.25" customHeight="1">
      <c r="A5" s="40"/>
      <c r="B5" s="51" t="s">
        <v>17</v>
      </c>
      <c r="C5" s="9">
        <f>VLOOKUP($B5,Form_Quartas!$C$2:$W$57,2,FALSE)</f>
        <v>4</v>
      </c>
      <c r="D5" s="9" t="s">
        <v>98</v>
      </c>
      <c r="E5" s="9">
        <f>VLOOKUP($B5,Form_Quartas!$C$2:$W$57,3,FALSE)</f>
        <v>1</v>
      </c>
      <c r="F5" s="47" t="str">
        <f t="shared" si="1"/>
        <v>casa</v>
      </c>
      <c r="G5" s="48">
        <f>IF(C5=QUARTAS!C$24,IF(QUARTAS!E$24=E5,Pesos!$O$6,IF(F5=QUARTAS!F$24,Pesos!$O$3,0)),IF(F5=QUARTAS!F$24,Pesos!$O$3,0))*IF(COUNTIF(F$3:F$23,F5)=1,2,1)</f>
        <v>0</v>
      </c>
      <c r="H5" s="9">
        <f>VLOOKUP($B5,Form_Quartas!$C$2:$W$57,7,FALSE)</f>
        <v>2</v>
      </c>
      <c r="I5" s="9" t="s">
        <v>98</v>
      </c>
      <c r="J5" s="9">
        <f>VLOOKUP($B5,Form_Quartas!$C$2:$W$57,8,FALSE)</f>
        <v>0</v>
      </c>
      <c r="K5" s="47" t="str">
        <f t="shared" si="2"/>
        <v>casa</v>
      </c>
      <c r="L5" s="48">
        <f>IF(H5=QUARTAS!H$24,IF(QUARTAS!J$24=J5,Pesos!$O$6,IF(K5=QUARTAS!K$24,Pesos!$O$3,0)),IF(K5=QUARTAS!K$24,Pesos!$O$3,0))*IF(COUNTIF(K$3:K$23,K5)=1,2,1)</f>
        <v>0</v>
      </c>
      <c r="M5" s="9">
        <f>VLOOKUP($B5,Form_Quartas!$C$2:$W$57,12,FALSE)</f>
        <v>3</v>
      </c>
      <c r="N5" s="9" t="s">
        <v>98</v>
      </c>
      <c r="O5" s="9">
        <f>VLOOKUP($B5,Form_Quartas!$C$2:$W$57,13,FALSE)</f>
        <v>0</v>
      </c>
      <c r="P5" s="47" t="str">
        <f t="shared" si="3"/>
        <v>casa</v>
      </c>
      <c r="Q5" s="48">
        <f>IF(M5=QUARTAS!M$24,IF(QUARTAS!O$24=O5,Pesos!$O$6,IF(P5=QUARTAS!P$24,Pesos!$O$3,0)),IF(P5=QUARTAS!P$24,Pesos!$O$3,0))*IF(COUNTIF(P$3:P$23,P5)=1,2,1)</f>
        <v>0</v>
      </c>
      <c r="R5" s="9">
        <f>VLOOKUP($B5,Form_Quartas!$C$2:$W$57,17,FALSE)</f>
        <v>1</v>
      </c>
      <c r="S5" s="9" t="s">
        <v>98</v>
      </c>
      <c r="T5" s="9">
        <f>VLOOKUP($B5,Form_Quartas!$C$2:$W$57,18,FALSE)</f>
        <v>2</v>
      </c>
      <c r="U5" s="47" t="str">
        <f t="shared" si="4"/>
        <v>visita</v>
      </c>
      <c r="V5" s="48">
        <f>IF(R5=QUARTAS!R$24,IF(QUARTAS!T$24=T5,Pesos!$O$6,IF(U5=QUARTAS!U$24,Pesos!$O$3,0)),IF(U5=QUARTAS!U$24,Pesos!$O$3,0))*IF(COUNTIF(U$3:U$23,U5)=1,2,1)</f>
        <v>0</v>
      </c>
      <c r="W5" s="41"/>
      <c r="X5" s="41">
        <f t="shared" si="5"/>
        <v>0</v>
      </c>
    </row>
    <row r="6" ht="14.25" customHeight="1">
      <c r="A6" s="40"/>
      <c r="B6" s="51" t="s">
        <v>3</v>
      </c>
      <c r="C6" s="9" t="str">
        <f>VLOOKUP($B6,Form_Quartas!$C$2:$W$57,2,FALSE)</f>
        <v>#N/A</v>
      </c>
      <c r="D6" s="9" t="s">
        <v>98</v>
      </c>
      <c r="E6" s="9" t="str">
        <f>VLOOKUP($B6,Form_Quartas!$C$2:$W$57,3,FALSE)</f>
        <v>#N/A</v>
      </c>
      <c r="F6" s="47" t="str">
        <f t="shared" si="1"/>
        <v>#N/A</v>
      </c>
      <c r="G6" s="48" t="str">
        <f>IF(C6=QUARTAS!C$24,IF(QUARTAS!E$24=E6,Pesos!$O$6,IF(F6=QUARTAS!F$24,Pesos!$O$3,0)),IF(F6=QUARTAS!F$24,Pesos!$O$3,0))*IF(COUNTIF(F$3:F$23,F6)=1,2,1)</f>
        <v>#N/A</v>
      </c>
      <c r="H6" s="9" t="str">
        <f>VLOOKUP($B6,Form_Quartas!$C$2:$W$57,7,FALSE)</f>
        <v>#N/A</v>
      </c>
      <c r="I6" s="9" t="s">
        <v>98</v>
      </c>
      <c r="J6" s="9" t="str">
        <f>VLOOKUP($B6,Form_Quartas!$C$2:$W$57,8,FALSE)</f>
        <v>#N/A</v>
      </c>
      <c r="K6" s="47" t="str">
        <f t="shared" si="2"/>
        <v>#N/A</v>
      </c>
      <c r="L6" s="48" t="str">
        <f>IF(H6=QUARTAS!H$24,IF(QUARTAS!J$24=J6,Pesos!$O$6,IF(K6=QUARTAS!K$24,Pesos!$O$3,0)),IF(K6=QUARTAS!K$24,Pesos!$O$3,0))*IF(COUNTIF(K$3:K$23,K6)=1,2,1)</f>
        <v>#N/A</v>
      </c>
      <c r="M6" s="9" t="str">
        <f>VLOOKUP($B6,Form_Quartas!$C$2:$W$57,12,FALSE)</f>
        <v>#N/A</v>
      </c>
      <c r="N6" s="9" t="s">
        <v>98</v>
      </c>
      <c r="O6" s="9" t="str">
        <f>VLOOKUP($B6,Form_Quartas!$C$2:$W$57,13,FALSE)</f>
        <v>#N/A</v>
      </c>
      <c r="P6" s="47" t="str">
        <f t="shared" si="3"/>
        <v>#N/A</v>
      </c>
      <c r="Q6" s="48" t="str">
        <f>IF(M6=QUARTAS!M$24,IF(QUARTAS!O$24=O6,Pesos!$O$6,IF(P6=QUARTAS!P$24,Pesos!$O$3,0)),IF(P6=QUARTAS!P$24,Pesos!$O$3,0))*IF(COUNTIF(P$3:P$23,P6)=1,2,1)</f>
        <v>#N/A</v>
      </c>
      <c r="R6" s="9" t="str">
        <f>VLOOKUP($B6,Form_Quartas!$C$2:$W$57,17,FALSE)</f>
        <v>#N/A</v>
      </c>
      <c r="S6" s="9" t="s">
        <v>98</v>
      </c>
      <c r="T6" s="9" t="str">
        <f>VLOOKUP($B6,Form_Quartas!$C$2:$W$57,18,FALSE)</f>
        <v>#N/A</v>
      </c>
      <c r="U6" s="47" t="str">
        <f t="shared" si="4"/>
        <v>#N/A</v>
      </c>
      <c r="V6" s="48" t="str">
        <f>IF(R6=QUARTAS!R$24,IF(QUARTAS!T$24=T6,Pesos!$O$6,IF(U6=QUARTAS!U$24,Pesos!$O$3,0)),IF(U6=QUARTAS!U$24,Pesos!$O$3,0))*IF(COUNTIF(U$3:U$23,U6)=1,2,1)</f>
        <v>#N/A</v>
      </c>
      <c r="W6" s="41"/>
      <c r="X6" s="41" t="str">
        <f t="shared" si="5"/>
        <v>#N/A</v>
      </c>
    </row>
    <row r="7" ht="14.25" customHeight="1">
      <c r="A7" s="40"/>
      <c r="B7" s="51" t="s">
        <v>13</v>
      </c>
      <c r="C7" s="9" t="str">
        <f>VLOOKUP($B7,Form_Quartas!$C$2:$W$57,2,FALSE)</f>
        <v>#N/A</v>
      </c>
      <c r="D7" s="9" t="s">
        <v>98</v>
      </c>
      <c r="E7" s="9" t="str">
        <f>VLOOKUP($B7,Form_Quartas!$C$2:$W$57,3,FALSE)</f>
        <v>#N/A</v>
      </c>
      <c r="F7" s="47" t="str">
        <f t="shared" si="1"/>
        <v>#N/A</v>
      </c>
      <c r="G7" s="48" t="str">
        <f>IF(C7=QUARTAS!C$24,IF(QUARTAS!E$24=E7,Pesos!$O$6,IF(F7=QUARTAS!F$24,Pesos!$O$3,0)),IF(F7=QUARTAS!F$24,Pesos!$O$3,0))*IF(COUNTIF(F$3:F$23,F7)=1,2,1)</f>
        <v>#N/A</v>
      </c>
      <c r="H7" s="9" t="str">
        <f>VLOOKUP($B7,Form_Quartas!$C$2:$W$57,7,FALSE)</f>
        <v>#N/A</v>
      </c>
      <c r="I7" s="9" t="s">
        <v>98</v>
      </c>
      <c r="J7" s="9" t="str">
        <f>VLOOKUP($B7,Form_Quartas!$C$2:$W$57,8,FALSE)</f>
        <v>#N/A</v>
      </c>
      <c r="K7" s="47" t="str">
        <f t="shared" si="2"/>
        <v>#N/A</v>
      </c>
      <c r="L7" s="48" t="str">
        <f>IF(H7=QUARTAS!H$24,IF(QUARTAS!J$24=J7,Pesos!$O$6,IF(K7=QUARTAS!K$24,Pesos!$O$3,0)),IF(K7=QUARTAS!K$24,Pesos!$O$3,0))*IF(COUNTIF(K$3:K$23,K7)=1,2,1)</f>
        <v>#N/A</v>
      </c>
      <c r="M7" s="9" t="str">
        <f>VLOOKUP($B7,Form_Quartas!$C$2:$W$57,12,FALSE)</f>
        <v>#N/A</v>
      </c>
      <c r="N7" s="9" t="s">
        <v>98</v>
      </c>
      <c r="O7" s="9" t="str">
        <f>VLOOKUP($B7,Form_Quartas!$C$2:$W$57,13,FALSE)</f>
        <v>#N/A</v>
      </c>
      <c r="P7" s="47" t="str">
        <f t="shared" si="3"/>
        <v>#N/A</v>
      </c>
      <c r="Q7" s="48" t="str">
        <f>IF(M7=QUARTAS!M$24,IF(QUARTAS!O$24=O7,Pesos!$O$6,IF(P7=QUARTAS!P$24,Pesos!$O$3,0)),IF(P7=QUARTAS!P$24,Pesos!$O$3,0))*IF(COUNTIF(P$3:P$23,P7)=1,2,1)</f>
        <v>#N/A</v>
      </c>
      <c r="R7" s="9" t="str">
        <f>VLOOKUP($B7,Form_Quartas!$C$2:$W$57,17,FALSE)</f>
        <v>#N/A</v>
      </c>
      <c r="S7" s="9" t="s">
        <v>98</v>
      </c>
      <c r="T7" s="9" t="str">
        <f>VLOOKUP($B7,Form_Quartas!$C$2:$W$57,18,FALSE)</f>
        <v>#N/A</v>
      </c>
      <c r="U7" s="47" t="str">
        <f t="shared" si="4"/>
        <v>#N/A</v>
      </c>
      <c r="V7" s="48" t="str">
        <f>IF(R7=QUARTAS!R$24,IF(QUARTAS!T$24=T7,Pesos!$O$6,IF(U7=QUARTAS!U$24,Pesos!$O$3,0)),IF(U7=QUARTAS!U$24,Pesos!$O$3,0))*IF(COUNTIF(U$3:U$23,U7)=1,2,1)</f>
        <v>#N/A</v>
      </c>
      <c r="W7" s="41"/>
      <c r="X7" s="41" t="str">
        <f t="shared" si="5"/>
        <v>#N/A</v>
      </c>
    </row>
    <row r="8" ht="14.25" customHeight="1">
      <c r="A8" s="40"/>
      <c r="B8" s="51" t="s">
        <v>14</v>
      </c>
      <c r="C8" s="9" t="str">
        <f>VLOOKUP($B8,Form_Quartas!$C$2:$W$57,2,FALSE)</f>
        <v>#N/A</v>
      </c>
      <c r="D8" s="9" t="s">
        <v>98</v>
      </c>
      <c r="E8" s="9" t="str">
        <f>VLOOKUP($B8,Form_Quartas!$C$2:$W$57,3,FALSE)</f>
        <v>#N/A</v>
      </c>
      <c r="F8" s="47" t="str">
        <f t="shared" si="1"/>
        <v>#N/A</v>
      </c>
      <c r="G8" s="48" t="str">
        <f>IF(C8=QUARTAS!C$24,IF(QUARTAS!E$24=E8,Pesos!$O$6,IF(F8=QUARTAS!F$24,Pesos!$O$3,0)),IF(F8=QUARTAS!F$24,Pesos!$O$3,0))*IF(COUNTIF(F$3:F$23,F8)=1,2,1)</f>
        <v>#N/A</v>
      </c>
      <c r="H8" s="9" t="str">
        <f>VLOOKUP($B8,Form_Quartas!$C$2:$W$57,7,FALSE)</f>
        <v>#N/A</v>
      </c>
      <c r="I8" s="9" t="s">
        <v>98</v>
      </c>
      <c r="J8" s="9" t="str">
        <f>VLOOKUP($B8,Form_Quartas!$C$2:$W$57,8,FALSE)</f>
        <v>#N/A</v>
      </c>
      <c r="K8" s="47" t="str">
        <f t="shared" si="2"/>
        <v>#N/A</v>
      </c>
      <c r="L8" s="48" t="str">
        <f>IF(H8=QUARTAS!H$24,IF(QUARTAS!J$24=J8,Pesos!$O$6,IF(K8=QUARTAS!K$24,Pesos!$O$3,0)),IF(K8=QUARTAS!K$24,Pesos!$O$3,0))*IF(COUNTIF(K$3:K$23,K8)=1,2,1)</f>
        <v>#N/A</v>
      </c>
      <c r="M8" s="9" t="str">
        <f>VLOOKUP($B8,Form_Quartas!$C$2:$W$57,12,FALSE)</f>
        <v>#N/A</v>
      </c>
      <c r="N8" s="9" t="s">
        <v>98</v>
      </c>
      <c r="O8" s="9" t="str">
        <f>VLOOKUP($B8,Form_Quartas!$C$2:$W$57,13,FALSE)</f>
        <v>#N/A</v>
      </c>
      <c r="P8" s="47" t="str">
        <f t="shared" si="3"/>
        <v>#N/A</v>
      </c>
      <c r="Q8" s="48" t="str">
        <f>IF(M8=QUARTAS!M$24,IF(QUARTAS!O$24=O8,Pesos!$O$6,IF(P8=QUARTAS!P$24,Pesos!$O$3,0)),IF(P8=QUARTAS!P$24,Pesos!$O$3,0))*IF(COUNTIF(P$3:P$23,P8)=1,2,1)</f>
        <v>#N/A</v>
      </c>
      <c r="R8" s="9" t="str">
        <f>VLOOKUP($B8,Form_Quartas!$C$2:$W$57,17,FALSE)</f>
        <v>#N/A</v>
      </c>
      <c r="S8" s="9" t="s">
        <v>98</v>
      </c>
      <c r="T8" s="9" t="str">
        <f>VLOOKUP($B8,Form_Quartas!$C$2:$W$57,18,FALSE)</f>
        <v>#N/A</v>
      </c>
      <c r="U8" s="47" t="str">
        <f t="shared" si="4"/>
        <v>#N/A</v>
      </c>
      <c r="V8" s="48" t="str">
        <f>IF(R8=QUARTAS!R$24,IF(QUARTAS!T$24=T8,Pesos!$O$6,IF(U8=QUARTAS!U$24,Pesos!$O$3,0)),IF(U8=QUARTAS!U$24,Pesos!$O$3,0))*IF(COUNTIF(U$3:U$23,U8)=1,2,1)</f>
        <v>#N/A</v>
      </c>
      <c r="W8" s="41"/>
      <c r="X8" s="41" t="str">
        <f t="shared" si="5"/>
        <v>#N/A</v>
      </c>
    </row>
    <row r="9" ht="14.25" customHeight="1">
      <c r="A9" s="40"/>
      <c r="B9" s="51" t="s">
        <v>6</v>
      </c>
      <c r="C9" s="9" t="str">
        <f>VLOOKUP($B9,Form_Quartas!$C$2:$W$57,2,FALSE)</f>
        <v>#N/A</v>
      </c>
      <c r="D9" s="48" t="s">
        <v>98</v>
      </c>
      <c r="E9" s="9" t="str">
        <f>VLOOKUP($B9,Form_Quartas!$C$2:$W$57,3,FALSE)</f>
        <v>#N/A</v>
      </c>
      <c r="F9" s="47" t="str">
        <f t="shared" si="1"/>
        <v>#N/A</v>
      </c>
      <c r="G9" s="48" t="str">
        <f>IF(C9=QUARTAS!C$24,IF(QUARTAS!E$24=E9,Pesos!$O$6,IF(F9=QUARTAS!F$24,Pesos!$O$3,0)),IF(F9=QUARTAS!F$24,Pesos!$O$3,0))*IF(COUNTIF(F$3:F$23,F9)=1,2,1)</f>
        <v>#N/A</v>
      </c>
      <c r="H9" s="9" t="str">
        <f>VLOOKUP($B9,Form_Quartas!$C$2:$W$57,7,FALSE)</f>
        <v>#N/A</v>
      </c>
      <c r="I9" s="48" t="s">
        <v>98</v>
      </c>
      <c r="J9" s="9" t="str">
        <f>VLOOKUP($B9,Form_Quartas!$C$2:$W$57,8,FALSE)</f>
        <v>#N/A</v>
      </c>
      <c r="K9" s="47" t="str">
        <f t="shared" si="2"/>
        <v>#N/A</v>
      </c>
      <c r="L9" s="48" t="str">
        <f>IF(H9=QUARTAS!H$24,IF(QUARTAS!J$24=J9,Pesos!$O$6,IF(K9=QUARTAS!K$24,Pesos!$O$3,0)),IF(K9=QUARTAS!K$24,Pesos!$O$3,0))*IF(COUNTIF(K$3:K$23,K9)=1,2,1)</f>
        <v>#N/A</v>
      </c>
      <c r="M9" s="9" t="str">
        <f>VLOOKUP($B9,Form_Quartas!$C$2:$W$57,12,FALSE)</f>
        <v>#N/A</v>
      </c>
      <c r="N9" s="48" t="s">
        <v>98</v>
      </c>
      <c r="O9" s="9" t="str">
        <f>VLOOKUP($B9,Form_Quartas!$C$2:$W$57,13,FALSE)</f>
        <v>#N/A</v>
      </c>
      <c r="P9" s="47" t="str">
        <f t="shared" si="3"/>
        <v>#N/A</v>
      </c>
      <c r="Q9" s="48" t="str">
        <f>IF(M9=QUARTAS!M$24,IF(QUARTAS!O$24=O9,Pesos!$O$6,IF(P9=QUARTAS!P$24,Pesos!$O$3,0)),IF(P9=QUARTAS!P$24,Pesos!$O$3,0))*IF(COUNTIF(P$3:P$23,P9)=1,2,1)</f>
        <v>#N/A</v>
      </c>
      <c r="R9" s="9" t="str">
        <f>VLOOKUP($B9,Form_Quartas!$C$2:$W$57,17,FALSE)</f>
        <v>#N/A</v>
      </c>
      <c r="S9" s="48" t="s">
        <v>98</v>
      </c>
      <c r="T9" s="9" t="str">
        <f>VLOOKUP($B9,Form_Quartas!$C$2:$W$57,18,FALSE)</f>
        <v>#N/A</v>
      </c>
      <c r="U9" s="47" t="str">
        <f t="shared" si="4"/>
        <v>#N/A</v>
      </c>
      <c r="V9" s="48" t="str">
        <f>IF(R9=QUARTAS!R$24,IF(QUARTAS!T$24=T9,Pesos!$O$6,IF(U9=QUARTAS!U$24,Pesos!$O$3,0)),IF(U9=QUARTAS!U$24,Pesos!$O$3,0))*IF(COUNTIF(U$3:U$23,U9)=1,2,1)</f>
        <v>#N/A</v>
      </c>
      <c r="W9" s="41"/>
      <c r="X9" s="41" t="str">
        <f t="shared" si="5"/>
        <v>#N/A</v>
      </c>
    </row>
    <row r="10" ht="14.25" customHeight="1">
      <c r="A10" s="40"/>
      <c r="B10" s="51" t="s">
        <v>5</v>
      </c>
      <c r="C10" s="9" t="str">
        <f>VLOOKUP($B10,Form_Quartas!$C$2:$W$57,2,FALSE)</f>
        <v>#N/A</v>
      </c>
      <c r="D10" s="48" t="s">
        <v>98</v>
      </c>
      <c r="E10" s="9" t="str">
        <f>VLOOKUP($B10,Form_Quartas!$C$2:$W$57,3,FALSE)</f>
        <v>#N/A</v>
      </c>
      <c r="F10" s="47" t="str">
        <f t="shared" si="1"/>
        <v>#N/A</v>
      </c>
      <c r="G10" s="48" t="str">
        <f>IF(C10=QUARTAS!C$24,IF(QUARTAS!E$24=E10,Pesos!$O$6,IF(F10=QUARTAS!F$24,Pesos!$O$3,0)),IF(F10=QUARTAS!F$24,Pesos!$O$3,0))*IF(COUNTIF(F$3:F$23,F10)=1,2,1)</f>
        <v>#N/A</v>
      </c>
      <c r="H10" s="9" t="str">
        <f>VLOOKUP($B10,Form_Quartas!$C$2:$W$57,7,FALSE)</f>
        <v>#N/A</v>
      </c>
      <c r="I10" s="48" t="s">
        <v>98</v>
      </c>
      <c r="J10" s="9" t="str">
        <f>VLOOKUP($B10,Form_Quartas!$C$2:$W$57,8,FALSE)</f>
        <v>#N/A</v>
      </c>
      <c r="K10" s="47" t="str">
        <f t="shared" si="2"/>
        <v>#N/A</v>
      </c>
      <c r="L10" s="48" t="str">
        <f>IF(H10=QUARTAS!H$24,IF(QUARTAS!J$24=J10,Pesos!$O$6,IF(K10=QUARTAS!K$24,Pesos!$O$3,0)),IF(K10=QUARTAS!K$24,Pesos!$O$3,0))*IF(COUNTIF(K$3:K$23,K10)=1,2,1)</f>
        <v>#N/A</v>
      </c>
      <c r="M10" s="9" t="str">
        <f>VLOOKUP($B10,Form_Quartas!$C$2:$W$57,12,FALSE)</f>
        <v>#N/A</v>
      </c>
      <c r="N10" s="48" t="s">
        <v>98</v>
      </c>
      <c r="O10" s="9" t="str">
        <f>VLOOKUP($B10,Form_Quartas!$C$2:$W$57,13,FALSE)</f>
        <v>#N/A</v>
      </c>
      <c r="P10" s="47" t="str">
        <f t="shared" si="3"/>
        <v>#N/A</v>
      </c>
      <c r="Q10" s="48" t="str">
        <f>IF(M10=QUARTAS!M$24,IF(QUARTAS!O$24=O10,Pesos!$O$6,IF(P10=QUARTAS!P$24,Pesos!$O$3,0)),IF(P10=QUARTAS!P$24,Pesos!$O$3,0))*IF(COUNTIF(P$3:P$23,P10)=1,2,1)</f>
        <v>#N/A</v>
      </c>
      <c r="R10" s="9" t="str">
        <f>VLOOKUP($B10,Form_Quartas!$C$2:$W$57,17,FALSE)</f>
        <v>#N/A</v>
      </c>
      <c r="S10" s="48" t="s">
        <v>98</v>
      </c>
      <c r="T10" s="9" t="str">
        <f>VLOOKUP($B10,Form_Quartas!$C$2:$W$57,18,FALSE)</f>
        <v>#N/A</v>
      </c>
      <c r="U10" s="47" t="str">
        <f t="shared" si="4"/>
        <v>#N/A</v>
      </c>
      <c r="V10" s="48" t="str">
        <f>IF(R10=QUARTAS!R$24,IF(QUARTAS!T$24=T10,Pesos!$O$6,IF(U10=QUARTAS!U$24,Pesos!$O$3,0)),IF(U10=QUARTAS!U$24,Pesos!$O$3,0))*IF(COUNTIF(U$3:U$23,U10)=1,2,1)</f>
        <v>#N/A</v>
      </c>
      <c r="W10" s="41"/>
      <c r="X10" s="41" t="str">
        <f t="shared" si="5"/>
        <v>#N/A</v>
      </c>
    </row>
    <row r="11" ht="14.25" customHeight="1">
      <c r="A11" s="40"/>
      <c r="B11" s="51" t="s">
        <v>4</v>
      </c>
      <c r="C11" s="9" t="str">
        <f>VLOOKUP($B11,Form_Quartas!$C$2:$W$57,2,FALSE)</f>
        <v>#N/A</v>
      </c>
      <c r="D11" s="9" t="s">
        <v>98</v>
      </c>
      <c r="E11" s="9" t="str">
        <f>VLOOKUP($B11,Form_Quartas!$C$2:$W$57,3,FALSE)</f>
        <v>#N/A</v>
      </c>
      <c r="F11" s="47" t="str">
        <f t="shared" si="1"/>
        <v>#N/A</v>
      </c>
      <c r="G11" s="48" t="str">
        <f>IF(C11=QUARTAS!C$24,IF(QUARTAS!E$24=E11,Pesos!$O$6,IF(F11=QUARTAS!F$24,Pesos!$O$3,0)),IF(F11=QUARTAS!F$24,Pesos!$O$3,0))*IF(COUNTIF(F$3:F$23,F11)=1,2,1)</f>
        <v>#N/A</v>
      </c>
      <c r="H11" s="9" t="str">
        <f>VLOOKUP($B11,Form_Quartas!$C$2:$W$57,7,FALSE)</f>
        <v>#N/A</v>
      </c>
      <c r="I11" s="9" t="s">
        <v>98</v>
      </c>
      <c r="J11" s="9" t="str">
        <f>VLOOKUP($B11,Form_Quartas!$C$2:$W$57,8,FALSE)</f>
        <v>#N/A</v>
      </c>
      <c r="K11" s="47" t="str">
        <f t="shared" si="2"/>
        <v>#N/A</v>
      </c>
      <c r="L11" s="48" t="str">
        <f>IF(H11=QUARTAS!H$24,IF(QUARTAS!J$24=J11,Pesos!$O$6,IF(K11=QUARTAS!K$24,Pesos!$O$3,0)),IF(K11=QUARTAS!K$24,Pesos!$O$3,0))*IF(COUNTIF(K$3:K$23,K11)=1,2,1)</f>
        <v>#N/A</v>
      </c>
      <c r="M11" s="9" t="str">
        <f>VLOOKUP($B11,Form_Quartas!$C$2:$W$57,12,FALSE)</f>
        <v>#N/A</v>
      </c>
      <c r="N11" s="9" t="s">
        <v>98</v>
      </c>
      <c r="O11" s="9" t="str">
        <f>VLOOKUP($B11,Form_Quartas!$C$2:$W$57,13,FALSE)</f>
        <v>#N/A</v>
      </c>
      <c r="P11" s="47" t="str">
        <f t="shared" si="3"/>
        <v>#N/A</v>
      </c>
      <c r="Q11" s="48" t="str">
        <f>IF(M11=QUARTAS!M$24,IF(QUARTAS!O$24=O11,Pesos!$O$6,IF(P11=QUARTAS!P$24,Pesos!$O$3,0)),IF(P11=QUARTAS!P$24,Pesos!$O$3,0))*IF(COUNTIF(P$3:P$23,P11)=1,2,1)</f>
        <v>#N/A</v>
      </c>
      <c r="R11" s="9" t="str">
        <f>VLOOKUP($B11,Form_Quartas!$C$2:$W$57,17,FALSE)</f>
        <v>#N/A</v>
      </c>
      <c r="S11" s="9" t="s">
        <v>98</v>
      </c>
      <c r="T11" s="9" t="str">
        <f>VLOOKUP($B11,Form_Quartas!$C$2:$W$57,18,FALSE)</f>
        <v>#N/A</v>
      </c>
      <c r="U11" s="47" t="str">
        <f t="shared" si="4"/>
        <v>#N/A</v>
      </c>
      <c r="V11" s="48" t="str">
        <f>IF(R11=QUARTAS!R$24,IF(QUARTAS!T$24=T11,Pesos!$O$6,IF(U11=QUARTAS!U$24,Pesos!$O$3,0)),IF(U11=QUARTAS!U$24,Pesos!$O$3,0))*IF(COUNTIF(U$3:U$23,U11)=1,2,1)</f>
        <v>#N/A</v>
      </c>
      <c r="W11" s="41"/>
      <c r="X11" s="41" t="str">
        <f t="shared" si="5"/>
        <v>#N/A</v>
      </c>
    </row>
    <row r="12" ht="14.25" customHeight="1">
      <c r="A12" s="40"/>
      <c r="B12" s="51" t="s">
        <v>18</v>
      </c>
      <c r="C12" s="9" t="str">
        <f>VLOOKUP($B12,Form_Quartas!$C$2:$W$57,2,FALSE)</f>
        <v>#N/A</v>
      </c>
      <c r="D12" s="9" t="s">
        <v>98</v>
      </c>
      <c r="E12" s="9" t="str">
        <f>VLOOKUP($B12,Form_Quartas!$C$2:$W$57,3,FALSE)</f>
        <v>#N/A</v>
      </c>
      <c r="F12" s="47" t="str">
        <f t="shared" si="1"/>
        <v>#N/A</v>
      </c>
      <c r="G12" s="48" t="str">
        <f>IF(C12=QUARTAS!C$24,IF(QUARTAS!E$24=E12,Pesos!$O$6,IF(F12=QUARTAS!F$24,Pesos!$O$3,0)),IF(F12=QUARTAS!F$24,Pesos!$O$3,0))*IF(COUNTIF(F$3:F$23,F12)=1,2,1)</f>
        <v>#N/A</v>
      </c>
      <c r="H12" s="9" t="str">
        <f>VLOOKUP($B12,Form_Quartas!$C$2:$W$57,7,FALSE)</f>
        <v>#N/A</v>
      </c>
      <c r="I12" s="9" t="s">
        <v>98</v>
      </c>
      <c r="J12" s="9" t="str">
        <f>VLOOKUP($B12,Form_Quartas!$C$2:$W$57,8,FALSE)</f>
        <v>#N/A</v>
      </c>
      <c r="K12" s="47" t="str">
        <f t="shared" si="2"/>
        <v>#N/A</v>
      </c>
      <c r="L12" s="48" t="str">
        <f>IF(H12=QUARTAS!H$24,IF(QUARTAS!J$24=J12,Pesos!$O$6,IF(K12=QUARTAS!K$24,Pesos!$O$3,0)),IF(K12=QUARTAS!K$24,Pesos!$O$3,0))*IF(COUNTIF(K$3:K$23,K12)=1,2,1)</f>
        <v>#N/A</v>
      </c>
      <c r="M12" s="9" t="str">
        <f>VLOOKUP($B12,Form_Quartas!$C$2:$W$57,12,FALSE)</f>
        <v>#N/A</v>
      </c>
      <c r="N12" s="9" t="s">
        <v>98</v>
      </c>
      <c r="O12" s="9" t="str">
        <f>VLOOKUP($B12,Form_Quartas!$C$2:$W$57,13,FALSE)</f>
        <v>#N/A</v>
      </c>
      <c r="P12" s="47" t="str">
        <f t="shared" si="3"/>
        <v>#N/A</v>
      </c>
      <c r="Q12" s="48" t="str">
        <f>IF(M12=QUARTAS!M$24,IF(QUARTAS!O$24=O12,Pesos!$O$6,IF(P12=QUARTAS!P$24,Pesos!$O$3,0)),IF(P12=QUARTAS!P$24,Pesos!$O$3,0))*IF(COUNTIF(P$3:P$23,P12)=1,2,1)</f>
        <v>#N/A</v>
      </c>
      <c r="R12" s="9" t="str">
        <f>VLOOKUP($B12,Form_Quartas!$C$2:$W$57,17,FALSE)</f>
        <v>#N/A</v>
      </c>
      <c r="S12" s="9" t="s">
        <v>98</v>
      </c>
      <c r="T12" s="9" t="str">
        <f>VLOOKUP($B12,Form_Quartas!$C$2:$W$57,18,FALSE)</f>
        <v>#N/A</v>
      </c>
      <c r="U12" s="47" t="str">
        <f t="shared" si="4"/>
        <v>#N/A</v>
      </c>
      <c r="V12" s="48" t="str">
        <f>IF(R12=QUARTAS!R$24,IF(QUARTAS!T$24=T12,Pesos!$O$6,IF(U12=QUARTAS!U$24,Pesos!$O$3,0)),IF(U12=QUARTAS!U$24,Pesos!$O$3,0))*IF(COUNTIF(U$3:U$23,U12)=1,2,1)</f>
        <v>#N/A</v>
      </c>
      <c r="W12" s="41"/>
      <c r="X12" s="41" t="str">
        <f t="shared" si="5"/>
        <v>#N/A</v>
      </c>
    </row>
    <row r="13" ht="14.25" customHeight="1">
      <c r="A13" s="40"/>
      <c r="B13" s="51" t="s">
        <v>2</v>
      </c>
      <c r="C13" s="9" t="str">
        <f>VLOOKUP($B13,Form_Quartas!$C$2:$W$57,2,FALSE)</f>
        <v>#N/A</v>
      </c>
      <c r="D13" s="9" t="s">
        <v>98</v>
      </c>
      <c r="E13" s="9" t="str">
        <f>VLOOKUP($B13,Form_Quartas!$C$2:$W$57,3,FALSE)</f>
        <v>#N/A</v>
      </c>
      <c r="F13" s="47" t="str">
        <f t="shared" si="1"/>
        <v>#N/A</v>
      </c>
      <c r="G13" s="48" t="str">
        <f>IF(C13=QUARTAS!C$24,IF(QUARTAS!E$24=E13,Pesos!$O$6,IF(F13=QUARTAS!F$24,Pesos!$O$3,0)),IF(F13=QUARTAS!F$24,Pesos!$O$3,0))*IF(COUNTIF(F$3:F$23,F13)=1,2,1)</f>
        <v>#N/A</v>
      </c>
      <c r="H13" s="9" t="str">
        <f>VLOOKUP($B13,Form_Quartas!$C$2:$W$57,7,FALSE)</f>
        <v>#N/A</v>
      </c>
      <c r="I13" s="9" t="s">
        <v>98</v>
      </c>
      <c r="J13" s="9" t="str">
        <f>VLOOKUP($B13,Form_Quartas!$C$2:$W$57,8,FALSE)</f>
        <v>#N/A</v>
      </c>
      <c r="K13" s="47" t="str">
        <f t="shared" si="2"/>
        <v>#N/A</v>
      </c>
      <c r="L13" s="48" t="str">
        <f>IF(H13=QUARTAS!H$24,IF(QUARTAS!J$24=J13,Pesos!$O$6,IF(K13=QUARTAS!K$24,Pesos!$O$3,0)),IF(K13=QUARTAS!K$24,Pesos!$O$3,0))*IF(COUNTIF(K$3:K$23,K13)=1,2,1)</f>
        <v>#N/A</v>
      </c>
      <c r="M13" s="9" t="str">
        <f>VLOOKUP($B13,Form_Quartas!$C$2:$W$57,12,FALSE)</f>
        <v>#N/A</v>
      </c>
      <c r="N13" s="9" t="s">
        <v>98</v>
      </c>
      <c r="O13" s="9" t="str">
        <f>VLOOKUP($B13,Form_Quartas!$C$2:$W$57,13,FALSE)</f>
        <v>#N/A</v>
      </c>
      <c r="P13" s="47" t="str">
        <f t="shared" si="3"/>
        <v>#N/A</v>
      </c>
      <c r="Q13" s="48" t="str">
        <f>IF(M13=QUARTAS!M$24,IF(QUARTAS!O$24=O13,Pesos!$O$6,IF(P13=QUARTAS!P$24,Pesos!$O$3,0)),IF(P13=QUARTAS!P$24,Pesos!$O$3,0))*IF(COUNTIF(P$3:P$23,P13)=1,2,1)</f>
        <v>#N/A</v>
      </c>
      <c r="R13" s="9" t="str">
        <f>VLOOKUP($B13,Form_Quartas!$C$2:$W$57,17,FALSE)</f>
        <v>#N/A</v>
      </c>
      <c r="S13" s="9" t="s">
        <v>98</v>
      </c>
      <c r="T13" s="9" t="str">
        <f>VLOOKUP($B13,Form_Quartas!$C$2:$W$57,18,FALSE)</f>
        <v>#N/A</v>
      </c>
      <c r="U13" s="47" t="str">
        <f t="shared" si="4"/>
        <v>#N/A</v>
      </c>
      <c r="V13" s="48" t="str">
        <f>IF(R13=QUARTAS!R$24,IF(QUARTAS!T$24=T13,Pesos!$O$6,IF(U13=QUARTAS!U$24,Pesos!$O$3,0)),IF(U13=QUARTAS!U$24,Pesos!$O$3,0))*IF(COUNTIF(U$3:U$23,U13)=1,2,1)</f>
        <v>#N/A</v>
      </c>
      <c r="W13" s="41"/>
      <c r="X13" s="41" t="str">
        <f t="shared" si="5"/>
        <v>#N/A</v>
      </c>
    </row>
    <row r="14" ht="14.25" customHeight="1">
      <c r="A14" s="40"/>
      <c r="B14" s="51" t="s">
        <v>15</v>
      </c>
      <c r="C14" s="9">
        <f>VLOOKUP($B14,Form_Quartas!$C$2:$W$57,2,FALSE)</f>
        <v>3</v>
      </c>
      <c r="D14" s="9" t="s">
        <v>98</v>
      </c>
      <c r="E14" s="9">
        <f>VLOOKUP($B14,Form_Quartas!$C$2:$W$57,3,FALSE)</f>
        <v>1</v>
      </c>
      <c r="F14" s="47" t="str">
        <f t="shared" si="1"/>
        <v>casa</v>
      </c>
      <c r="G14" s="48">
        <f>IF(C14=QUARTAS!C$24,IF(QUARTAS!E$24=E14,Pesos!$O$6,IF(F14=QUARTAS!F$24,Pesos!$O$3,0)),IF(F14=QUARTAS!F$24,Pesos!$O$3,0))*IF(COUNTIF(F$3:F$23,F14)=1,2,1)</f>
        <v>0</v>
      </c>
      <c r="H14" s="9">
        <f>VLOOKUP($B14,Form_Quartas!$C$2:$W$57,7,FALSE)</f>
        <v>2</v>
      </c>
      <c r="I14" s="9" t="s">
        <v>98</v>
      </c>
      <c r="J14" s="9">
        <f>VLOOKUP($B14,Form_Quartas!$C$2:$W$57,8,FALSE)</f>
        <v>1</v>
      </c>
      <c r="K14" s="47" t="str">
        <f t="shared" si="2"/>
        <v>casa</v>
      </c>
      <c r="L14" s="48">
        <f>IF(H14=QUARTAS!H$24,IF(QUARTAS!J$24=J14,Pesos!$O$6,IF(K14=QUARTAS!K$24,Pesos!$O$3,0)),IF(K14=QUARTAS!K$24,Pesos!$O$3,0))*IF(COUNTIF(K$3:K$23,K14)=1,2,1)</f>
        <v>0</v>
      </c>
      <c r="M14" s="9">
        <f>VLOOKUP($B14,Form_Quartas!$C$2:$W$57,12,FALSE)</f>
        <v>3</v>
      </c>
      <c r="N14" s="9" t="s">
        <v>98</v>
      </c>
      <c r="O14" s="9">
        <f>VLOOKUP($B14,Form_Quartas!$C$2:$W$57,13,FALSE)</f>
        <v>1</v>
      </c>
      <c r="P14" s="47" t="str">
        <f t="shared" si="3"/>
        <v>casa</v>
      </c>
      <c r="Q14" s="48">
        <f>IF(M14=QUARTAS!M$24,IF(QUARTAS!O$24=O14,Pesos!$O$6,IF(P14=QUARTAS!P$24,Pesos!$O$3,0)),IF(P14=QUARTAS!P$24,Pesos!$O$3,0))*IF(COUNTIF(P$3:P$23,P14)=1,2,1)</f>
        <v>0</v>
      </c>
      <c r="R14" s="9">
        <f>VLOOKUP($B14,Form_Quartas!$C$2:$W$57,17,FALSE)</f>
        <v>2</v>
      </c>
      <c r="S14" s="9" t="s">
        <v>98</v>
      </c>
      <c r="T14" s="9">
        <f>VLOOKUP($B14,Form_Quartas!$C$2:$W$57,18,FALSE)</f>
        <v>2</v>
      </c>
      <c r="U14" s="47" t="str">
        <f t="shared" si="4"/>
        <v>empate</v>
      </c>
      <c r="V14" s="48">
        <f>IF(R14=QUARTAS!R$24,IF(QUARTAS!T$24=T14,Pesos!$O$6,IF(U14=QUARTAS!U$24,Pesos!$O$3,0)),IF(U14=QUARTAS!U$24,Pesos!$O$3,0))*IF(COUNTIF(U$3:U$23,U14)=1,2,1)</f>
        <v>0</v>
      </c>
      <c r="W14" s="41"/>
      <c r="X14" s="41">
        <f t="shared" si="5"/>
        <v>0</v>
      </c>
    </row>
    <row r="15" ht="14.25" customHeight="1">
      <c r="A15" s="40"/>
      <c r="B15" s="51" t="s">
        <v>12</v>
      </c>
      <c r="C15" s="9" t="str">
        <f>VLOOKUP($B15,Form_Quartas!$C$2:$W$57,2,FALSE)</f>
        <v>#N/A</v>
      </c>
      <c r="D15" s="9" t="s">
        <v>98</v>
      </c>
      <c r="E15" s="9" t="str">
        <f>VLOOKUP($B15,Form_Quartas!$C$2:$W$57,3,FALSE)</f>
        <v>#N/A</v>
      </c>
      <c r="F15" s="47" t="str">
        <f t="shared" si="1"/>
        <v>#N/A</v>
      </c>
      <c r="G15" s="48" t="str">
        <f>IF(C15=QUARTAS!C$24,IF(QUARTAS!E$24=E15,Pesos!$O$6,IF(F15=QUARTAS!F$24,Pesos!$O$3,0)),IF(F15=QUARTAS!F$24,Pesos!$O$3,0))*IF(COUNTIF(F$3:F$23,F15)=1,2,1)</f>
        <v>#N/A</v>
      </c>
      <c r="H15" s="9" t="str">
        <f>VLOOKUP($B15,Form_Quartas!$C$2:$W$57,7,FALSE)</f>
        <v>#N/A</v>
      </c>
      <c r="I15" s="9" t="s">
        <v>98</v>
      </c>
      <c r="J15" s="9" t="str">
        <f>VLOOKUP($B15,Form_Quartas!$C$2:$W$57,8,FALSE)</f>
        <v>#N/A</v>
      </c>
      <c r="K15" s="47" t="str">
        <f t="shared" si="2"/>
        <v>#N/A</v>
      </c>
      <c r="L15" s="48" t="str">
        <f>IF(H15=QUARTAS!H$24,IF(QUARTAS!J$24=J15,Pesos!$O$6,IF(K15=QUARTAS!K$24,Pesos!$O$3,0)),IF(K15=QUARTAS!K$24,Pesos!$O$3,0))*IF(COUNTIF(K$3:K$23,K15)=1,2,1)</f>
        <v>#N/A</v>
      </c>
      <c r="M15" s="9" t="str">
        <f>VLOOKUP($B15,Form_Quartas!$C$2:$W$57,12,FALSE)</f>
        <v>#N/A</v>
      </c>
      <c r="N15" s="9" t="s">
        <v>98</v>
      </c>
      <c r="O15" s="9" t="str">
        <f>VLOOKUP($B15,Form_Quartas!$C$2:$W$57,13,FALSE)</f>
        <v>#N/A</v>
      </c>
      <c r="P15" s="47" t="str">
        <f t="shared" si="3"/>
        <v>#N/A</v>
      </c>
      <c r="Q15" s="48" t="str">
        <f>IF(M15=QUARTAS!M$24,IF(QUARTAS!O$24=O15,Pesos!$O$6,IF(P15=QUARTAS!P$24,Pesos!$O$3,0)),IF(P15=QUARTAS!P$24,Pesos!$O$3,0))*IF(COUNTIF(P$3:P$23,P15)=1,2,1)</f>
        <v>#N/A</v>
      </c>
      <c r="R15" s="9" t="str">
        <f>VLOOKUP($B15,Form_Quartas!$C$2:$W$57,17,FALSE)</f>
        <v>#N/A</v>
      </c>
      <c r="S15" s="9" t="s">
        <v>98</v>
      </c>
      <c r="T15" s="9" t="str">
        <f>VLOOKUP($B15,Form_Quartas!$C$2:$W$57,18,FALSE)</f>
        <v>#N/A</v>
      </c>
      <c r="U15" s="47" t="str">
        <f t="shared" si="4"/>
        <v>#N/A</v>
      </c>
      <c r="V15" s="48" t="str">
        <f>IF(R15=QUARTAS!R$24,IF(QUARTAS!T$24=T15,Pesos!$O$6,IF(U15=QUARTAS!U$24,Pesos!$O$3,0)),IF(U15=QUARTAS!U$24,Pesos!$O$3,0))*IF(COUNTIF(U$3:U$23,U15)=1,2,1)</f>
        <v>#N/A</v>
      </c>
      <c r="W15" s="41"/>
      <c r="X15" s="41" t="str">
        <f t="shared" si="5"/>
        <v>#N/A</v>
      </c>
    </row>
    <row r="16" ht="14.25" customHeight="1">
      <c r="A16" s="40"/>
      <c r="B16" s="51" t="s">
        <v>8</v>
      </c>
      <c r="C16" s="9">
        <f>VLOOKUP($B16,Form_Quartas!$C$2:$W$57,2,FALSE)</f>
        <v>3</v>
      </c>
      <c r="D16" s="9" t="s">
        <v>98</v>
      </c>
      <c r="E16" s="9">
        <f>VLOOKUP($B16,Form_Quartas!$C$2:$W$57,3,FALSE)</f>
        <v>1</v>
      </c>
      <c r="F16" s="47" t="str">
        <f t="shared" si="1"/>
        <v>casa</v>
      </c>
      <c r="G16" s="48">
        <f>IF(C16=QUARTAS!C$24,IF(QUARTAS!E$24=E16,Pesos!$O$6,IF(F16=QUARTAS!F$24,Pesos!$O$3,0)),IF(F16=QUARTAS!F$24,Pesos!$O$3,0))*IF(COUNTIF(F$3:F$23,F16)=1,2,1)</f>
        <v>0</v>
      </c>
      <c r="H16" s="9">
        <f>VLOOKUP($B16,Form_Quartas!$C$2:$W$57,7,FALSE)</f>
        <v>3</v>
      </c>
      <c r="I16" s="9" t="s">
        <v>98</v>
      </c>
      <c r="J16" s="9">
        <f>VLOOKUP($B16,Form_Quartas!$C$2:$W$57,8,FALSE)</f>
        <v>2</v>
      </c>
      <c r="K16" s="47" t="str">
        <f t="shared" si="2"/>
        <v>casa</v>
      </c>
      <c r="L16" s="48">
        <f>IF(H16=QUARTAS!H$24,IF(QUARTAS!J$24=J16,Pesos!$O$6,IF(K16=QUARTAS!K$24,Pesos!$O$3,0)),IF(K16=QUARTAS!K$24,Pesos!$O$3,0))*IF(COUNTIF(K$3:K$23,K16)=1,2,1)</f>
        <v>0</v>
      </c>
      <c r="M16" s="9">
        <f>VLOOKUP($B16,Form_Quartas!$C$2:$W$57,12,FALSE)</f>
        <v>3</v>
      </c>
      <c r="N16" s="9" t="s">
        <v>98</v>
      </c>
      <c r="O16" s="9">
        <f>VLOOKUP($B16,Form_Quartas!$C$2:$W$57,13,FALSE)</f>
        <v>2</v>
      </c>
      <c r="P16" s="47" t="str">
        <f t="shared" si="3"/>
        <v>casa</v>
      </c>
      <c r="Q16" s="48">
        <f>IF(M16=QUARTAS!M$24,IF(QUARTAS!O$24=O16,Pesos!$O$6,IF(P16=QUARTAS!P$24,Pesos!$O$3,0)),IF(P16=QUARTAS!P$24,Pesos!$O$3,0))*IF(COUNTIF(P$3:P$23,P16)=1,2,1)</f>
        <v>0</v>
      </c>
      <c r="R16" s="9">
        <f>VLOOKUP($B16,Form_Quartas!$C$2:$W$57,17,FALSE)</f>
        <v>2</v>
      </c>
      <c r="S16" s="9" t="s">
        <v>98</v>
      </c>
      <c r="T16" s="9">
        <f>VLOOKUP($B16,Form_Quartas!$C$2:$W$57,18,FALSE)</f>
        <v>2</v>
      </c>
      <c r="U16" s="47" t="str">
        <f t="shared" si="4"/>
        <v>empate</v>
      </c>
      <c r="V16" s="48">
        <f>IF(R16=QUARTAS!R$24,IF(QUARTAS!T$24=T16,Pesos!$O$6,IF(U16=QUARTAS!U$24,Pesos!$O$3,0)),IF(U16=QUARTAS!U$24,Pesos!$O$3,0))*IF(COUNTIF(U$3:U$23,U16)=1,2,1)</f>
        <v>0</v>
      </c>
      <c r="W16" s="41"/>
      <c r="X16" s="41">
        <f t="shared" si="5"/>
        <v>0</v>
      </c>
    </row>
    <row r="17" ht="14.25" customHeight="1">
      <c r="A17" s="40"/>
      <c r="B17" s="51" t="s">
        <v>16</v>
      </c>
      <c r="C17" s="9">
        <f>VLOOKUP($B17,Form_Quartas!$C$2:$W$57,2,FALSE)</f>
        <v>2</v>
      </c>
      <c r="D17" s="9" t="s">
        <v>98</v>
      </c>
      <c r="E17" s="9">
        <f>VLOOKUP($B17,Form_Quartas!$C$2:$W$57,3,FALSE)</f>
        <v>1</v>
      </c>
      <c r="F17" s="47" t="str">
        <f t="shared" si="1"/>
        <v>casa</v>
      </c>
      <c r="G17" s="48">
        <f>IF(C17=QUARTAS!C$24,IF(QUARTAS!E$24=E17,Pesos!$O$6,IF(F17=QUARTAS!F$24,Pesos!$O$3,0)),IF(F17=QUARTAS!F$24,Pesos!$O$3,0))*IF(COUNTIF(F$3:F$23,F17)=1,2,1)</f>
        <v>0</v>
      </c>
      <c r="H17" s="9">
        <f>VLOOKUP($B17,Form_Quartas!$C$2:$W$57,7,FALSE)</f>
        <v>2</v>
      </c>
      <c r="I17" s="9" t="s">
        <v>98</v>
      </c>
      <c r="J17" s="9">
        <f>VLOOKUP($B17,Form_Quartas!$C$2:$W$57,8,FALSE)</f>
        <v>1</v>
      </c>
      <c r="K17" s="47" t="str">
        <f t="shared" si="2"/>
        <v>casa</v>
      </c>
      <c r="L17" s="48">
        <f>IF(H17=QUARTAS!H$24,IF(QUARTAS!J$24=J17,Pesos!$O$6,IF(K17=QUARTAS!K$24,Pesos!$O$3,0)),IF(K17=QUARTAS!K$24,Pesos!$O$3,0))*IF(COUNTIF(K$3:K$23,K17)=1,2,1)</f>
        <v>0</v>
      </c>
      <c r="M17" s="9">
        <f>VLOOKUP($B17,Form_Quartas!$C$2:$W$57,12,FALSE)</f>
        <v>4</v>
      </c>
      <c r="N17" s="9" t="s">
        <v>98</v>
      </c>
      <c r="O17" s="9">
        <f>VLOOKUP($B17,Form_Quartas!$C$2:$W$57,13,FALSE)</f>
        <v>1</v>
      </c>
      <c r="P17" s="47" t="str">
        <f t="shared" si="3"/>
        <v>casa</v>
      </c>
      <c r="Q17" s="48">
        <f>IF(M17=QUARTAS!M$24,IF(QUARTAS!O$24=O17,Pesos!$O$6,IF(P17=QUARTAS!P$24,Pesos!$O$3,0)),IF(P17=QUARTAS!P$24,Pesos!$O$3,0))*IF(COUNTIF(P$3:P$23,P17)=1,2,1)</f>
        <v>0</v>
      </c>
      <c r="R17" s="9">
        <f>VLOOKUP($B17,Form_Quartas!$C$2:$W$57,17,FALSE)</f>
        <v>1</v>
      </c>
      <c r="S17" s="9" t="s">
        <v>98</v>
      </c>
      <c r="T17" s="9">
        <f>VLOOKUP($B17,Form_Quartas!$C$2:$W$57,18,FALSE)</f>
        <v>2</v>
      </c>
      <c r="U17" s="47" t="str">
        <f t="shared" si="4"/>
        <v>visita</v>
      </c>
      <c r="V17" s="48">
        <f>IF(R17=QUARTAS!R$24,IF(QUARTAS!T$24=T17,Pesos!$O$6,IF(U17=QUARTAS!U$24,Pesos!$O$3,0)),IF(U17=QUARTAS!U$24,Pesos!$O$3,0))*IF(COUNTIF(U$3:U$23,U17)=1,2,1)</f>
        <v>0</v>
      </c>
      <c r="W17" s="41"/>
      <c r="X17" s="41">
        <f t="shared" si="5"/>
        <v>0</v>
      </c>
    </row>
    <row r="18" ht="14.25" customHeight="1">
      <c r="A18" s="40"/>
      <c r="B18" s="51" t="s">
        <v>11</v>
      </c>
      <c r="C18" s="9" t="str">
        <f>VLOOKUP($B18,Form_Quartas!$C$2:$W$57,2,FALSE)</f>
        <v>#N/A</v>
      </c>
      <c r="D18" s="9" t="s">
        <v>98</v>
      </c>
      <c r="E18" s="9" t="str">
        <f>VLOOKUP($B18,Form_Quartas!$C$2:$W$57,3,FALSE)</f>
        <v>#N/A</v>
      </c>
      <c r="F18" s="47" t="str">
        <f t="shared" si="1"/>
        <v>#N/A</v>
      </c>
      <c r="G18" s="48" t="str">
        <f>IF(C18=QUARTAS!C$24,IF(QUARTAS!E$24=E18,Pesos!$O$6,IF(F18=QUARTAS!F$24,Pesos!$O$3,0)),IF(F18=QUARTAS!F$24,Pesos!$O$3,0))*IF(COUNTIF(F$3:F$23,F18)=1,2,1)</f>
        <v>#N/A</v>
      </c>
      <c r="H18" s="9" t="str">
        <f>VLOOKUP($B18,Form_Quartas!$C$2:$W$57,7,FALSE)</f>
        <v>#N/A</v>
      </c>
      <c r="I18" s="9" t="s">
        <v>98</v>
      </c>
      <c r="J18" s="9" t="str">
        <f>VLOOKUP($B18,Form_Quartas!$C$2:$W$57,8,FALSE)</f>
        <v>#N/A</v>
      </c>
      <c r="K18" s="47" t="str">
        <f t="shared" si="2"/>
        <v>#N/A</v>
      </c>
      <c r="L18" s="48" t="str">
        <f>IF(H18=QUARTAS!H$24,IF(QUARTAS!J$24=J18,Pesos!$O$6,IF(K18=QUARTAS!K$24,Pesos!$O$3,0)),IF(K18=QUARTAS!K$24,Pesos!$O$3,0))*IF(COUNTIF(K$3:K$23,K18)=1,2,1)</f>
        <v>#N/A</v>
      </c>
      <c r="M18" s="9" t="str">
        <f>VLOOKUP($B18,Form_Quartas!$C$2:$W$57,12,FALSE)</f>
        <v>#N/A</v>
      </c>
      <c r="N18" s="9" t="s">
        <v>98</v>
      </c>
      <c r="O18" s="9" t="str">
        <f>VLOOKUP($B18,Form_Quartas!$C$2:$W$57,13,FALSE)</f>
        <v>#N/A</v>
      </c>
      <c r="P18" s="47" t="str">
        <f t="shared" si="3"/>
        <v>#N/A</v>
      </c>
      <c r="Q18" s="48" t="str">
        <f>IF(M18=QUARTAS!M$24,IF(QUARTAS!O$24=O18,Pesos!$O$6,IF(P18=QUARTAS!P$24,Pesos!$O$3,0)),IF(P18=QUARTAS!P$24,Pesos!$O$3,0))*IF(COUNTIF(P$3:P$23,P18)=1,2,1)</f>
        <v>#N/A</v>
      </c>
      <c r="R18" s="9" t="str">
        <f>VLOOKUP($B18,Form_Quartas!$C$2:$W$57,17,FALSE)</f>
        <v>#N/A</v>
      </c>
      <c r="S18" s="9" t="s">
        <v>98</v>
      </c>
      <c r="T18" s="9" t="str">
        <f>VLOOKUP($B18,Form_Quartas!$C$2:$W$57,18,FALSE)</f>
        <v>#N/A</v>
      </c>
      <c r="U18" s="47" t="str">
        <f t="shared" si="4"/>
        <v>#N/A</v>
      </c>
      <c r="V18" s="48" t="str">
        <f>IF(R18=QUARTAS!R$24,IF(QUARTAS!T$24=T18,Pesos!$O$6,IF(U18=QUARTAS!U$24,Pesos!$O$3,0)),IF(U18=QUARTAS!U$24,Pesos!$O$3,0))*IF(COUNTIF(U$3:U$23,U18)=1,2,1)</f>
        <v>#N/A</v>
      </c>
      <c r="W18" s="41"/>
      <c r="X18" s="41" t="str">
        <f t="shared" si="5"/>
        <v>#N/A</v>
      </c>
    </row>
    <row r="19" ht="14.25" customHeight="1">
      <c r="A19" s="40"/>
      <c r="B19" s="51" t="s">
        <v>7</v>
      </c>
      <c r="C19" s="9" t="str">
        <f>VLOOKUP($B19,Form_Quartas!$C$2:$W$57,2,FALSE)</f>
        <v>#N/A</v>
      </c>
      <c r="D19" s="48" t="s">
        <v>98</v>
      </c>
      <c r="E19" s="9" t="str">
        <f>VLOOKUP($B19,Form_Quartas!$C$2:$W$57,3,FALSE)</f>
        <v>#N/A</v>
      </c>
      <c r="F19" s="47" t="str">
        <f t="shared" si="1"/>
        <v>#N/A</v>
      </c>
      <c r="G19" s="48" t="str">
        <f>IF(C19=QUARTAS!C$24,IF(QUARTAS!E$24=E19,Pesos!$O$6,IF(F19=QUARTAS!F$24,Pesos!$O$3,0)),IF(F19=QUARTAS!F$24,Pesos!$O$3,0))*IF(COUNTIF(F$3:F$23,F19)=1,2,1)</f>
        <v>#N/A</v>
      </c>
      <c r="H19" s="9" t="str">
        <f>VLOOKUP($B19,Form_Quartas!$C$2:$W$57,7,FALSE)</f>
        <v>#N/A</v>
      </c>
      <c r="I19" s="48" t="s">
        <v>98</v>
      </c>
      <c r="J19" s="9" t="str">
        <f>VLOOKUP($B19,Form_Quartas!$C$2:$W$57,8,FALSE)</f>
        <v>#N/A</v>
      </c>
      <c r="K19" s="47" t="str">
        <f t="shared" si="2"/>
        <v>#N/A</v>
      </c>
      <c r="L19" s="48" t="str">
        <f>IF(H19=QUARTAS!H$24,IF(QUARTAS!J$24=J19,Pesos!$O$6,IF(K19=QUARTAS!K$24,Pesos!$O$3,0)),IF(K19=QUARTAS!K$24,Pesos!$O$3,0))*IF(COUNTIF(K$3:K$23,K19)=1,2,1)</f>
        <v>#N/A</v>
      </c>
      <c r="M19" s="9" t="str">
        <f>VLOOKUP($B19,Form_Quartas!$C$2:$W$57,12,FALSE)</f>
        <v>#N/A</v>
      </c>
      <c r="N19" s="48" t="s">
        <v>98</v>
      </c>
      <c r="O19" s="9" t="str">
        <f>VLOOKUP($B19,Form_Quartas!$C$2:$W$57,13,FALSE)</f>
        <v>#N/A</v>
      </c>
      <c r="P19" s="47" t="str">
        <f t="shared" si="3"/>
        <v>#N/A</v>
      </c>
      <c r="Q19" s="48" t="str">
        <f>IF(M19=QUARTAS!M$24,IF(QUARTAS!O$24=O19,Pesos!$O$6,IF(P19=QUARTAS!P$24,Pesos!$O$3,0)),IF(P19=QUARTAS!P$24,Pesos!$O$3,0))*IF(COUNTIF(P$3:P$23,P19)=1,2,1)</f>
        <v>#N/A</v>
      </c>
      <c r="R19" s="9" t="str">
        <f>VLOOKUP($B19,Form_Quartas!$C$2:$W$57,17,FALSE)</f>
        <v>#N/A</v>
      </c>
      <c r="S19" s="48" t="s">
        <v>98</v>
      </c>
      <c r="T19" s="9" t="str">
        <f>VLOOKUP($B19,Form_Quartas!$C$2:$W$57,18,FALSE)</f>
        <v>#N/A</v>
      </c>
      <c r="U19" s="47" t="str">
        <f t="shared" si="4"/>
        <v>#N/A</v>
      </c>
      <c r="V19" s="48" t="str">
        <f>IF(R19=QUARTAS!R$24,IF(QUARTAS!T$24=T19,Pesos!$O$6,IF(U19=QUARTAS!U$24,Pesos!$O$3,0)),IF(U19=QUARTAS!U$24,Pesos!$O$3,0))*IF(COUNTIF(U$3:U$23,U19)=1,2,1)</f>
        <v>#N/A</v>
      </c>
      <c r="W19" s="41"/>
      <c r="X19" s="41" t="str">
        <f t="shared" si="5"/>
        <v>#N/A</v>
      </c>
    </row>
    <row r="20" ht="14.25" customHeight="1">
      <c r="A20" s="40"/>
      <c r="B20" s="51" t="s">
        <v>19</v>
      </c>
      <c r="C20" s="9" t="str">
        <f>VLOOKUP($B20,Form_Quartas!$C$2:$W$57,2,FALSE)</f>
        <v>#N/A</v>
      </c>
      <c r="D20" s="57" t="s">
        <v>98</v>
      </c>
      <c r="E20" s="9" t="str">
        <f>VLOOKUP($B20,Form_Quartas!$C$2:$W$57,3,FALSE)</f>
        <v>#N/A</v>
      </c>
      <c r="F20" s="47" t="str">
        <f t="shared" si="1"/>
        <v>#N/A</v>
      </c>
      <c r="G20" s="48" t="str">
        <f>IF(C20=QUARTAS!C$24,IF(QUARTAS!E$24=E20,Pesos!$O$6,IF(F20=QUARTAS!F$24,Pesos!$O$3,0)),IF(F20=QUARTAS!F$24,Pesos!$O$3,0))*IF(COUNTIF(F$3:F$23,F20)=1,2,1)</f>
        <v>#N/A</v>
      </c>
      <c r="H20" s="9" t="str">
        <f>VLOOKUP($B20,Form_Quartas!$C$2:$W$57,7,FALSE)</f>
        <v>#N/A</v>
      </c>
      <c r="I20" s="57" t="s">
        <v>98</v>
      </c>
      <c r="J20" s="9" t="str">
        <f>VLOOKUP($B20,Form_Quartas!$C$2:$W$57,8,FALSE)</f>
        <v>#N/A</v>
      </c>
      <c r="K20" s="47" t="str">
        <f t="shared" si="2"/>
        <v>#N/A</v>
      </c>
      <c r="L20" s="48" t="str">
        <f>IF(H20=QUARTAS!H$24,IF(QUARTAS!J$24=J20,Pesos!$O$6,IF(K20=QUARTAS!K$24,Pesos!$O$3,0)),IF(K20=QUARTAS!K$24,Pesos!$O$3,0))*IF(COUNTIF(K$3:K$23,K20)=1,2,1)</f>
        <v>#N/A</v>
      </c>
      <c r="M20" s="9" t="str">
        <f>VLOOKUP($B20,Form_Quartas!$C$2:$W$57,12,FALSE)</f>
        <v>#N/A</v>
      </c>
      <c r="N20" s="57" t="s">
        <v>98</v>
      </c>
      <c r="O20" s="9" t="str">
        <f>VLOOKUP($B20,Form_Quartas!$C$2:$W$57,13,FALSE)</f>
        <v>#N/A</v>
      </c>
      <c r="P20" s="47" t="str">
        <f t="shared" si="3"/>
        <v>#N/A</v>
      </c>
      <c r="Q20" s="48" t="str">
        <f>IF(M20=QUARTAS!M$24,IF(QUARTAS!O$24=O20,Pesos!$O$6,IF(P20=QUARTAS!P$24,Pesos!$O$3,0)),IF(P20=QUARTAS!P$24,Pesos!$O$3,0))*IF(COUNTIF(P$3:P$23,P20)=1,2,1)</f>
        <v>#N/A</v>
      </c>
      <c r="R20" s="9" t="str">
        <f>VLOOKUP($B20,Form_Quartas!$C$2:$W$57,17,FALSE)</f>
        <v>#N/A</v>
      </c>
      <c r="S20" s="57" t="s">
        <v>98</v>
      </c>
      <c r="T20" s="9" t="str">
        <f>VLOOKUP($B20,Form_Quartas!$C$2:$W$57,18,FALSE)</f>
        <v>#N/A</v>
      </c>
      <c r="U20" s="47" t="str">
        <f t="shared" si="4"/>
        <v>#N/A</v>
      </c>
      <c r="V20" s="48" t="str">
        <f>IF(R20=QUARTAS!R$24,IF(QUARTAS!T$24=T20,Pesos!$O$6,IF(U20=QUARTAS!U$24,Pesos!$O$3,0)),IF(U20=QUARTAS!U$24,Pesos!$O$3,0))*IF(COUNTIF(U$3:U$23,U20)=1,2,1)</f>
        <v>#N/A</v>
      </c>
      <c r="W20" s="41"/>
      <c r="X20" s="41" t="str">
        <f t="shared" si="5"/>
        <v>#N/A</v>
      </c>
    </row>
    <row r="21" ht="14.25" customHeight="1">
      <c r="A21" s="40"/>
      <c r="B21" s="52" t="s">
        <v>20</v>
      </c>
      <c r="C21" s="9" t="str">
        <f>VLOOKUP($B21,Form_Quartas!$C$2:$W$57,2,FALSE)</f>
        <v>#N/A</v>
      </c>
      <c r="D21" s="57" t="s">
        <v>98</v>
      </c>
      <c r="E21" s="9" t="str">
        <f>VLOOKUP($B21,Form_Quartas!$C$2:$W$57,3,FALSE)</f>
        <v>#N/A</v>
      </c>
      <c r="F21" s="47" t="str">
        <f t="shared" si="1"/>
        <v>#N/A</v>
      </c>
      <c r="G21" s="48" t="str">
        <f>IF(C21=QUARTAS!C$24,IF(QUARTAS!E$24=E21,Pesos!$O$6,IF(F21=QUARTAS!F$24,Pesos!$O$3,0)),IF(F21=QUARTAS!F$24,Pesos!$O$3,0))*IF(COUNTIF(F$3:F$23,F21)=1,2,1)</f>
        <v>#N/A</v>
      </c>
      <c r="H21" s="9" t="str">
        <f>VLOOKUP($B21,Form_Quartas!$C$2:$W$57,7,FALSE)</f>
        <v>#N/A</v>
      </c>
      <c r="I21" s="57" t="s">
        <v>98</v>
      </c>
      <c r="J21" s="9" t="str">
        <f>VLOOKUP($B21,Form_Quartas!$C$2:$W$57,8,FALSE)</f>
        <v>#N/A</v>
      </c>
      <c r="K21" s="47" t="str">
        <f t="shared" si="2"/>
        <v>#N/A</v>
      </c>
      <c r="L21" s="48" t="str">
        <f>IF(H21=QUARTAS!H$24,IF(QUARTAS!J$24=J21,Pesos!$O$6,IF(K21=QUARTAS!K$24,Pesos!$O$3,0)),IF(K21=QUARTAS!K$24,Pesos!$O$3,0))*IF(COUNTIF(K$3:K$23,K21)=1,2,1)</f>
        <v>#N/A</v>
      </c>
      <c r="M21" s="9" t="str">
        <f>VLOOKUP($B21,Form_Quartas!$C$2:$W$57,12,FALSE)</f>
        <v>#N/A</v>
      </c>
      <c r="N21" s="57" t="s">
        <v>98</v>
      </c>
      <c r="O21" s="9" t="str">
        <f>VLOOKUP($B21,Form_Quartas!$C$2:$W$57,13,FALSE)</f>
        <v>#N/A</v>
      </c>
      <c r="P21" s="47" t="str">
        <f t="shared" si="3"/>
        <v>#N/A</v>
      </c>
      <c r="Q21" s="48" t="str">
        <f>IF(M21=QUARTAS!M$24,IF(QUARTAS!O$24=O21,Pesos!$O$6,IF(P21=QUARTAS!P$24,Pesos!$O$3,0)),IF(P21=QUARTAS!P$24,Pesos!$O$3,0))*IF(COUNTIF(P$3:P$23,P21)=1,2,1)</f>
        <v>#N/A</v>
      </c>
      <c r="R21" s="9" t="str">
        <f>VLOOKUP($B21,Form_Quartas!$C$2:$W$57,17,FALSE)</f>
        <v>#N/A</v>
      </c>
      <c r="S21" s="57" t="s">
        <v>98</v>
      </c>
      <c r="T21" s="9" t="str">
        <f>VLOOKUP($B21,Form_Quartas!$C$2:$W$57,18,FALSE)</f>
        <v>#N/A</v>
      </c>
      <c r="U21" s="47" t="str">
        <f t="shared" si="4"/>
        <v>#N/A</v>
      </c>
      <c r="V21" s="48" t="str">
        <f>IF(R21=QUARTAS!R$24,IF(QUARTAS!T$24=T21,Pesos!$O$6,IF(U21=QUARTAS!U$24,Pesos!$O$3,0)),IF(U21=QUARTAS!U$24,Pesos!$O$3,0))*IF(COUNTIF(U$3:U$23,U21)=1,2,1)</f>
        <v>#N/A</v>
      </c>
      <c r="W21" s="41"/>
      <c r="X21" s="41" t="str">
        <f t="shared" si="5"/>
        <v>#N/A</v>
      </c>
    </row>
    <row r="22" ht="14.25" customHeight="1">
      <c r="A22" s="40"/>
      <c r="B22" s="52" t="s">
        <v>21</v>
      </c>
      <c r="C22" s="9" t="str">
        <f>VLOOKUP($B22,Form_Quartas!$C$2:$W$57,2,FALSE)</f>
        <v>#N/A</v>
      </c>
      <c r="D22" s="57" t="s">
        <v>98</v>
      </c>
      <c r="E22" s="9" t="str">
        <f>VLOOKUP($B22,Form_Quartas!$C$2:$W$57,3,FALSE)</f>
        <v>#N/A</v>
      </c>
      <c r="F22" s="47" t="str">
        <f t="shared" si="1"/>
        <v>#N/A</v>
      </c>
      <c r="G22" s="48" t="str">
        <f>IF(C22=QUARTAS!C$24,IF(QUARTAS!E$24=E22,Pesos!$O$6,IF(F22=QUARTAS!F$24,Pesos!$O$3,0)),IF(F22=QUARTAS!F$24,Pesos!$O$3,0))*IF(COUNTIF(F$3:F$23,F22)=1,2,1)</f>
        <v>#N/A</v>
      </c>
      <c r="H22" s="9" t="str">
        <f>VLOOKUP($B22,Form_Quartas!$C$2:$W$57,7,FALSE)</f>
        <v>#N/A</v>
      </c>
      <c r="I22" s="57" t="s">
        <v>98</v>
      </c>
      <c r="J22" s="9" t="str">
        <f>VLOOKUP($B22,Form_Quartas!$C$2:$W$57,8,FALSE)</f>
        <v>#N/A</v>
      </c>
      <c r="K22" s="47" t="str">
        <f t="shared" si="2"/>
        <v>#N/A</v>
      </c>
      <c r="L22" s="48" t="str">
        <f>IF(H22=QUARTAS!H$24,IF(QUARTAS!J$24=J22,Pesos!$O$6,IF(K22=QUARTAS!K$24,Pesos!$O$3,0)),IF(K22=QUARTAS!K$24,Pesos!$O$3,0))*IF(COUNTIF(K$3:K$23,K22)=1,2,1)</f>
        <v>#N/A</v>
      </c>
      <c r="M22" s="9" t="str">
        <f>VLOOKUP($B22,Form_Quartas!$C$2:$W$57,12,FALSE)</f>
        <v>#N/A</v>
      </c>
      <c r="N22" s="57" t="s">
        <v>98</v>
      </c>
      <c r="O22" s="9" t="str">
        <f>VLOOKUP($B22,Form_Quartas!$C$2:$W$57,13,FALSE)</f>
        <v>#N/A</v>
      </c>
      <c r="P22" s="47" t="str">
        <f t="shared" si="3"/>
        <v>#N/A</v>
      </c>
      <c r="Q22" s="48" t="str">
        <f>IF(M22=QUARTAS!M$24,IF(QUARTAS!O$24=O22,Pesos!$O$6,IF(P22=QUARTAS!P$24,Pesos!$O$3,0)),IF(P22=QUARTAS!P$24,Pesos!$O$3,0))*IF(COUNTIF(P$3:P$23,P22)=1,2,1)</f>
        <v>#N/A</v>
      </c>
      <c r="R22" s="9" t="str">
        <f>VLOOKUP($B22,Form_Quartas!$C$2:$W$57,17,FALSE)</f>
        <v>#N/A</v>
      </c>
      <c r="S22" s="57" t="s">
        <v>98</v>
      </c>
      <c r="T22" s="9" t="str">
        <f>VLOOKUP($B22,Form_Quartas!$C$2:$W$57,18,FALSE)</f>
        <v>#N/A</v>
      </c>
      <c r="U22" s="47" t="str">
        <f t="shared" si="4"/>
        <v>#N/A</v>
      </c>
      <c r="V22" s="48" t="str">
        <f>IF(R22=QUARTAS!R$24,IF(QUARTAS!T$24=T22,Pesos!$O$6,IF(U22=QUARTAS!U$24,Pesos!$O$3,0)),IF(U22=QUARTAS!U$24,Pesos!$O$3,0))*IF(COUNTIF(U$3:U$23,U22)=1,2,1)</f>
        <v>#N/A</v>
      </c>
      <c r="W22" s="41"/>
      <c r="X22" s="41" t="str">
        <f t="shared" si="5"/>
        <v>#N/A</v>
      </c>
    </row>
    <row r="23" ht="14.25" customHeight="1">
      <c r="A23" s="40"/>
      <c r="B23" s="52" t="s">
        <v>22</v>
      </c>
      <c r="C23" s="9" t="str">
        <f>VLOOKUP($B23,Form_Quartas!$C$2:$W$57,2,FALSE)</f>
        <v>#N/A</v>
      </c>
      <c r="D23" s="57" t="s">
        <v>98</v>
      </c>
      <c r="E23" s="9" t="str">
        <f>VLOOKUP($B23,Form_Quartas!$C$2:$W$57,3,FALSE)</f>
        <v>#N/A</v>
      </c>
      <c r="F23" s="47" t="str">
        <f t="shared" si="1"/>
        <v>#N/A</v>
      </c>
      <c r="G23" s="48" t="str">
        <f>IF(C23=QUARTAS!C$24,IF(QUARTAS!E$24=E23,Pesos!$O$6,IF(F23=QUARTAS!F$24,Pesos!$O$3,0)),IF(F23=QUARTAS!F$24,Pesos!$O$3,0))*IF(COUNTIF(F$3:F$23,F23)=1,2,1)</f>
        <v>#N/A</v>
      </c>
      <c r="H23" s="9" t="str">
        <f>VLOOKUP($B23,Form_Quartas!$C$2:$W$57,7,FALSE)</f>
        <v>#N/A</v>
      </c>
      <c r="I23" s="57" t="s">
        <v>98</v>
      </c>
      <c r="J23" s="9" t="str">
        <f>VLOOKUP($B23,Form_Quartas!$C$2:$W$57,8,FALSE)</f>
        <v>#N/A</v>
      </c>
      <c r="K23" s="47" t="str">
        <f t="shared" si="2"/>
        <v>#N/A</v>
      </c>
      <c r="L23" s="48" t="str">
        <f>IF(H23=QUARTAS!H$24,IF(QUARTAS!J$24=J23,Pesos!$O$6,IF(K23=QUARTAS!K$24,Pesos!$O$3,0)),IF(K23=QUARTAS!K$24,Pesos!$O$3,0))*IF(COUNTIF(K$3:K$23,K23)=1,2,1)</f>
        <v>#N/A</v>
      </c>
      <c r="M23" s="9" t="str">
        <f>VLOOKUP($B23,Form_Quartas!$C$2:$W$57,12,FALSE)</f>
        <v>#N/A</v>
      </c>
      <c r="N23" s="57" t="s">
        <v>98</v>
      </c>
      <c r="O23" s="9" t="str">
        <f>VLOOKUP($B23,Form_Quartas!$C$2:$W$57,13,FALSE)</f>
        <v>#N/A</v>
      </c>
      <c r="P23" s="47" t="str">
        <f t="shared" si="3"/>
        <v>#N/A</v>
      </c>
      <c r="Q23" s="48" t="str">
        <f>IF(M23=QUARTAS!M$24,IF(QUARTAS!O$24=O23,Pesos!$O$6,IF(P23=QUARTAS!P$24,Pesos!$O$3,0)),IF(P23=QUARTAS!P$24,Pesos!$O$3,0))*IF(COUNTIF(P$3:P$23,P23)=1,2,1)</f>
        <v>#N/A</v>
      </c>
      <c r="R23" s="9" t="str">
        <f>VLOOKUP($B23,Form_Quartas!$C$2:$W$57,17,FALSE)</f>
        <v>#N/A</v>
      </c>
      <c r="S23" s="57" t="s">
        <v>98</v>
      </c>
      <c r="T23" s="9" t="str">
        <f>VLOOKUP($B23,Form_Quartas!$C$2:$W$57,18,FALSE)</f>
        <v>#N/A</v>
      </c>
      <c r="U23" s="47" t="str">
        <f t="shared" si="4"/>
        <v>#N/A</v>
      </c>
      <c r="V23" s="48" t="str">
        <f>IF(R23=QUARTAS!R$24,IF(QUARTAS!T$24=T23,Pesos!$O$6,IF(U23=QUARTAS!U$24,Pesos!$O$3,0)),IF(U23=QUARTAS!U$24,Pesos!$O$3,0))*IF(COUNTIF(U$3:U$23,U23)=1,2,1)</f>
        <v>#N/A</v>
      </c>
      <c r="W23" s="41"/>
      <c r="X23" s="41" t="str">
        <f t="shared" si="5"/>
        <v>#N/A</v>
      </c>
    </row>
    <row r="24" ht="14.25" customHeight="1">
      <c r="A24" s="40"/>
      <c r="B24" s="53" t="s">
        <v>1</v>
      </c>
      <c r="C24" s="54"/>
      <c r="D24" s="54" t="s">
        <v>98</v>
      </c>
      <c r="E24" s="54"/>
      <c r="F24" s="55" t="str">
        <f>if(E24="","",IF(C24&gt;E24,"casa",IF(C24=E24,"empate","visita")))</f>
        <v/>
      </c>
      <c r="G24" s="55"/>
      <c r="H24" s="54"/>
      <c r="I24" s="54" t="s">
        <v>98</v>
      </c>
      <c r="J24" s="54"/>
      <c r="K24" s="55" t="str">
        <f>if(J24="","",IF(H24&gt;J24,"casa",IF(H24=J24,"empate","visita")))</f>
        <v/>
      </c>
      <c r="L24" s="55"/>
      <c r="M24" s="54"/>
      <c r="N24" s="54" t="s">
        <v>98</v>
      </c>
      <c r="O24" s="54"/>
      <c r="P24" s="55" t="str">
        <f>if(O24="","",IF(M24&gt;O24,"casa",IF(M24=O24,"empate","visita")))</f>
        <v/>
      </c>
      <c r="Q24" s="55"/>
      <c r="R24" s="54"/>
      <c r="S24" s="54" t="s">
        <v>98</v>
      </c>
      <c r="T24" s="54"/>
      <c r="U24" s="55" t="str">
        <f>if(T24="","",IF(R24&gt;T24,"casa",IF(R24=T24,"empate","visita")))</f>
        <v/>
      </c>
      <c r="V24" s="55"/>
      <c r="W24" s="56"/>
      <c r="X24" s="56"/>
    </row>
    <row r="25" ht="17.2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1"/>
      <c r="X25" s="41"/>
    </row>
    <row r="26" ht="14.25" customHeight="1">
      <c r="A26" s="40"/>
      <c r="B26" s="1"/>
      <c r="C26" s="42" t="s">
        <v>130</v>
      </c>
      <c r="D26" s="43"/>
      <c r="E26" s="44"/>
      <c r="F26" s="1"/>
      <c r="G26" s="1"/>
      <c r="H26" s="42" t="s">
        <v>131</v>
      </c>
      <c r="I26" s="43"/>
      <c r="J26" s="44"/>
      <c r="K26" s="1"/>
      <c r="L26" s="1"/>
      <c r="M26" s="42" t="s">
        <v>132</v>
      </c>
      <c r="N26" s="43"/>
      <c r="O26" s="44"/>
      <c r="P26" s="1"/>
      <c r="Q26" s="1"/>
      <c r="R26" s="42" t="s">
        <v>133</v>
      </c>
      <c r="S26" s="43"/>
      <c r="T26" s="44"/>
      <c r="U26" s="1"/>
      <c r="V26" s="1"/>
      <c r="W26" s="41"/>
      <c r="X26" s="41"/>
    </row>
    <row r="27" ht="14.25" customHeight="1">
      <c r="A27" s="41"/>
      <c r="B27" s="45" t="s">
        <v>9</v>
      </c>
      <c r="C27" s="9" t="str">
        <f>VLOOKUP($B27,Form_Quartas!$C$2:$W$57,4,FALSE)</f>
        <v>#N/A</v>
      </c>
      <c r="D27" s="9" t="s">
        <v>98</v>
      </c>
      <c r="E27" s="9" t="str">
        <f>VLOOKUP($B27,Form_Quartas!$C$2:$W$57,5,FALSE)</f>
        <v>#N/A</v>
      </c>
      <c r="F27" s="47" t="str">
        <f t="shared" ref="F27:F47" si="6">IF(C27&gt;E27,"casa",IF(C27=E27,"empate","visita"))</f>
        <v>#N/A</v>
      </c>
      <c r="G27" s="48" t="str">
        <f>IF(C27=QUARTAS!C$48,IF(QUARTAS!E$48=E27,Pesos!$O$6,IF(F27=QUARTAS!F$48,Pesos!$O$3,0)),IF(F27=QUARTAS!F$48,Pesos!$O$3,0))*IF(COUNTIF(F$27:F$47,F27)=1,2,1)</f>
        <v>#N/A</v>
      </c>
      <c r="H27" s="9" t="str">
        <f>VLOOKUP($B27,Form_Quartas!$C$2:$W$57,9,FALSE)</f>
        <v>#N/A</v>
      </c>
      <c r="I27" s="9" t="s">
        <v>98</v>
      </c>
      <c r="J27" s="9" t="str">
        <f>VLOOKUP($B27,Form_Quartas!$C$2:$W$57,10,FALSE)</f>
        <v>#N/A</v>
      </c>
      <c r="K27" s="47" t="str">
        <f t="shared" ref="K27:K47" si="7">IF(H27&gt;J27,"casa",IF(H27=J27,"empate","visita"))</f>
        <v>#N/A</v>
      </c>
      <c r="L27" s="48" t="str">
        <f>IF(H27=QUARTAS!H$48,IF(QUARTAS!J$48=J27,Pesos!$O$6,IF(K27=QUARTAS!K$48,Pesos!$O$3,0)),IF(K27=QUARTAS!K$48,Pesos!$O$3,0))*IF(COUNTIF(K$27:K$47,K27)=1,2,1)</f>
        <v>#N/A</v>
      </c>
      <c r="M27" s="9" t="str">
        <f>VLOOKUP($B27,Form_Quartas!$C$2:$W$57,14,FALSE)</f>
        <v>#N/A</v>
      </c>
      <c r="N27" s="9" t="s">
        <v>98</v>
      </c>
      <c r="O27" s="9" t="str">
        <f>VLOOKUP($B27,Form_Quartas!$C$2:$W$57,15,FALSE)</f>
        <v>#N/A</v>
      </c>
      <c r="P27" s="47" t="str">
        <f t="shared" ref="P27:P47" si="8">IF(M27&gt;O27,"casa",IF(M27=O27,"empate","visita"))</f>
        <v>#N/A</v>
      </c>
      <c r="Q27" s="48" t="str">
        <f>IF(M27=QUARTAS!M$48,IF(QUARTAS!O$48=O27,Pesos!$O$6,IF(P27=QUARTAS!P$48,Pesos!$O$3,0)),IF(P27=QUARTAS!P$48,Pesos!$O$3,0))*IF(COUNTIF(P$27:P$47,P27)=1,2,1)</f>
        <v>#N/A</v>
      </c>
      <c r="R27" s="9" t="str">
        <f>VLOOKUP($B27,Form_Quartas!$C$2:$W$57,19,FALSE)</f>
        <v>#N/A</v>
      </c>
      <c r="S27" s="9" t="s">
        <v>98</v>
      </c>
      <c r="T27" s="9" t="str">
        <f>VLOOKUP($B27,Form_Quartas!$C$2:$W$57,20,FALSE)</f>
        <v>#N/A</v>
      </c>
      <c r="U27" s="47" t="str">
        <f t="shared" ref="U27:U47" si="9">IF(R27&gt;T27,"casa",IF(R27=T27,"empate","visita"))</f>
        <v>#N/A</v>
      </c>
      <c r="V27" s="48" t="str">
        <f>IF(R27=QUARTAS!R$48,IF(QUARTAS!T$48=T27,Pesos!$O$6,IF(U27=QUARTAS!U$48,Pesos!$O$3,0)),IF(U27=QUARTAS!U$48,Pesos!$O$3,0))*IF(COUNTIF(U$27:U$47,U27)=1,2,1)</f>
        <v>#N/A</v>
      </c>
      <c r="W27" s="41"/>
      <c r="X27" s="41" t="str">
        <f t="shared" ref="X27:X47" si="10">IF(L27=0,0,1)+IF(Q27=0,0,1)+IF(V27=0,0,1)+IF(G27=0,0,1)</f>
        <v>#N/A</v>
      </c>
    </row>
    <row r="28" ht="14.25" customHeight="1">
      <c r="A28" s="41"/>
      <c r="B28" s="51" t="s">
        <v>10</v>
      </c>
      <c r="C28" s="9" t="str">
        <f>VLOOKUP($B28,Form_Quartas!$C$2:$W$57,4,FALSE)</f>
        <v>#N/A</v>
      </c>
      <c r="D28" s="48" t="s">
        <v>98</v>
      </c>
      <c r="E28" s="9" t="str">
        <f>VLOOKUP($B28,Form_Quartas!$C$2:$W$57,5,FALSE)</f>
        <v>#N/A</v>
      </c>
      <c r="F28" s="47" t="str">
        <f t="shared" si="6"/>
        <v>#N/A</v>
      </c>
      <c r="G28" s="48" t="str">
        <f>IF(C28=QUARTAS!C$48,IF(QUARTAS!E$48=E28,Pesos!$O$6,IF(F28=QUARTAS!F$48,Pesos!$O$3,0)),IF(F28=QUARTAS!F$48,Pesos!$O$3,0))*IF(COUNTIF(F$27:F$47,F28)=1,2,1)</f>
        <v>#N/A</v>
      </c>
      <c r="H28" s="9" t="str">
        <f>VLOOKUP($B28,Form_Quartas!$C$2:$W$57,9,FALSE)</f>
        <v>#N/A</v>
      </c>
      <c r="I28" s="48" t="s">
        <v>98</v>
      </c>
      <c r="J28" s="9" t="str">
        <f>VLOOKUP($B28,Form_Quartas!$C$2:$W$57,10,FALSE)</f>
        <v>#N/A</v>
      </c>
      <c r="K28" s="47" t="str">
        <f t="shared" si="7"/>
        <v>#N/A</v>
      </c>
      <c r="L28" s="48" t="str">
        <f>IF(H28=QUARTAS!H$48,IF(QUARTAS!J$48=J28,Pesos!$O$6,IF(K28=QUARTAS!K$48,Pesos!$O$3,0)),IF(K28=QUARTAS!K$48,Pesos!$O$3,0))*IF(COUNTIF(K$27:K$47,K28)=1,2,1)</f>
        <v>#N/A</v>
      </c>
      <c r="M28" s="9" t="str">
        <f>VLOOKUP($B28,Form_Quartas!$C$2:$W$57,14,FALSE)</f>
        <v>#N/A</v>
      </c>
      <c r="N28" s="9" t="s">
        <v>98</v>
      </c>
      <c r="O28" s="9" t="str">
        <f>VLOOKUP($B28,Form_Quartas!$C$2:$W$57,15,FALSE)</f>
        <v>#N/A</v>
      </c>
      <c r="P28" s="47" t="str">
        <f t="shared" si="8"/>
        <v>#N/A</v>
      </c>
      <c r="Q28" s="48" t="str">
        <f>IF(M28=QUARTAS!M$48,IF(QUARTAS!O$48=O28,Pesos!$O$6,IF(P28=QUARTAS!P$48,Pesos!$O$3,0)),IF(P28=QUARTAS!P$48,Pesos!$O$3,0))*IF(COUNTIF(P$27:P$47,P28)=1,2,1)</f>
        <v>#N/A</v>
      </c>
      <c r="R28" s="9" t="str">
        <f>VLOOKUP($B28,Form_Quartas!$C$2:$W$57,19,FALSE)</f>
        <v>#N/A</v>
      </c>
      <c r="S28" s="48" t="s">
        <v>98</v>
      </c>
      <c r="T28" s="9" t="str">
        <f>VLOOKUP($B28,Form_Quartas!$C$2:$W$57,20,FALSE)</f>
        <v>#N/A</v>
      </c>
      <c r="U28" s="47" t="str">
        <f t="shared" si="9"/>
        <v>#N/A</v>
      </c>
      <c r="V28" s="48" t="str">
        <f>IF(R28=QUARTAS!R$48,IF(QUARTAS!T$48=T28,Pesos!$O$6,IF(U28=QUARTAS!U$48,Pesos!$O$3,0)),IF(U28=QUARTAS!U$48,Pesos!$O$3,0))*IF(COUNTIF(U$27:U$47,U28)=1,2,1)</f>
        <v>#N/A</v>
      </c>
      <c r="W28" s="41"/>
      <c r="X28" s="41" t="str">
        <f t="shared" si="10"/>
        <v>#N/A</v>
      </c>
    </row>
    <row r="29" ht="14.25" customHeight="1">
      <c r="A29" s="41"/>
      <c r="B29" s="51" t="s">
        <v>17</v>
      </c>
      <c r="C29" s="9">
        <f>VLOOKUP($B29,Form_Quartas!$C$2:$W$57,4,FALSE)</f>
        <v>3</v>
      </c>
      <c r="D29" s="9" t="s">
        <v>98</v>
      </c>
      <c r="E29" s="9">
        <f>VLOOKUP($B29,Form_Quartas!$C$2:$W$57,5,FALSE)</f>
        <v>2</v>
      </c>
      <c r="F29" s="47" t="str">
        <f t="shared" si="6"/>
        <v>casa</v>
      </c>
      <c r="G29" s="48">
        <f>IF(C29=QUARTAS!C$48,IF(QUARTAS!E$48=E29,Pesos!$O$6,IF(F29=QUARTAS!F$48,Pesos!$O$3,0)),IF(F29=QUARTAS!F$48,Pesos!$O$3,0))*IF(COUNTIF(F$27:F$47,F29)=1,2,1)</f>
        <v>0</v>
      </c>
      <c r="H29" s="9">
        <f>VLOOKUP($B29,Form_Quartas!$C$2:$W$57,9,FALSE)</f>
        <v>1</v>
      </c>
      <c r="I29" s="9" t="s">
        <v>98</v>
      </c>
      <c r="J29" s="9">
        <f>VLOOKUP($B29,Form_Quartas!$C$2:$W$57,10,FALSE)</f>
        <v>1</v>
      </c>
      <c r="K29" s="47" t="str">
        <f t="shared" si="7"/>
        <v>empate</v>
      </c>
      <c r="L29" s="48">
        <f>IF(H29=QUARTAS!H$48,IF(QUARTAS!J$48=J29,Pesos!$O$6,IF(K29=QUARTAS!K$48,Pesos!$O$3,0)),IF(K29=QUARTAS!K$48,Pesos!$O$3,0))*IF(COUNTIF(K$27:K$47,K29)=1,2,1)</f>
        <v>0</v>
      </c>
      <c r="M29" s="9">
        <f>VLOOKUP($B29,Form_Quartas!$C$2:$W$57,14,FALSE)</f>
        <v>2</v>
      </c>
      <c r="N29" s="9" t="s">
        <v>98</v>
      </c>
      <c r="O29" s="9">
        <f>VLOOKUP($B29,Form_Quartas!$C$2:$W$57,15,FALSE)</f>
        <v>4</v>
      </c>
      <c r="P29" s="47" t="str">
        <f t="shared" si="8"/>
        <v>visita</v>
      </c>
      <c r="Q29" s="48">
        <f>IF(M29=QUARTAS!M$48,IF(QUARTAS!O$48=O29,Pesos!$O$6,IF(P29=QUARTAS!P$48,Pesos!$O$3,0)),IF(P29=QUARTAS!P$48,Pesos!$O$3,0))*IF(COUNTIF(P$27:P$47,P29)=1,2,1)</f>
        <v>0</v>
      </c>
      <c r="R29" s="9">
        <f>VLOOKUP($B29,Form_Quartas!$C$2:$W$57,19,FALSE)</f>
        <v>3</v>
      </c>
      <c r="S29" s="9" t="s">
        <v>98</v>
      </c>
      <c r="T29" s="9">
        <f>VLOOKUP($B29,Form_Quartas!$C$2:$W$57,20,FALSE)</f>
        <v>0</v>
      </c>
      <c r="U29" s="47" t="str">
        <f t="shared" si="9"/>
        <v>casa</v>
      </c>
      <c r="V29" s="48">
        <f>IF(R29=QUARTAS!R$48,IF(QUARTAS!T$48=T29,Pesos!$O$6,IF(U29=QUARTAS!U$48,Pesos!$O$3,0)),IF(U29=QUARTAS!U$48,Pesos!$O$3,0))*IF(COUNTIF(U$27:U$47,U29)=1,2,1)</f>
        <v>0</v>
      </c>
      <c r="W29" s="41"/>
      <c r="X29" s="41">
        <f t="shared" si="10"/>
        <v>0</v>
      </c>
    </row>
    <row r="30" ht="14.25" customHeight="1">
      <c r="A30" s="41"/>
      <c r="B30" s="51" t="s">
        <v>3</v>
      </c>
      <c r="C30" s="9" t="str">
        <f>VLOOKUP($B30,Form_Quartas!$C$2:$W$57,4,FALSE)</f>
        <v>#N/A</v>
      </c>
      <c r="D30" s="9" t="s">
        <v>98</v>
      </c>
      <c r="E30" s="9" t="str">
        <f>VLOOKUP($B30,Form_Quartas!$C$2:$W$57,5,FALSE)</f>
        <v>#N/A</v>
      </c>
      <c r="F30" s="47" t="str">
        <f t="shared" si="6"/>
        <v>#N/A</v>
      </c>
      <c r="G30" s="48" t="str">
        <f>IF(C30=QUARTAS!C$48,IF(QUARTAS!E$48=E30,Pesos!$O$6,IF(F30=QUARTAS!F$48,Pesos!$O$3,0)),IF(F30=QUARTAS!F$48,Pesos!$O$3,0))*IF(COUNTIF(F$27:F$47,F30)=1,2,1)</f>
        <v>#N/A</v>
      </c>
      <c r="H30" s="9" t="str">
        <f>VLOOKUP($B30,Form_Quartas!$C$2:$W$57,9,FALSE)</f>
        <v>#N/A</v>
      </c>
      <c r="I30" s="9" t="s">
        <v>98</v>
      </c>
      <c r="J30" s="9" t="str">
        <f>VLOOKUP($B30,Form_Quartas!$C$2:$W$57,10,FALSE)</f>
        <v>#N/A</v>
      </c>
      <c r="K30" s="47" t="str">
        <f t="shared" si="7"/>
        <v>#N/A</v>
      </c>
      <c r="L30" s="48" t="str">
        <f>IF(H30=QUARTAS!H$48,IF(QUARTAS!J$48=J30,Pesos!$O$6,IF(K30=QUARTAS!K$48,Pesos!$O$3,0)),IF(K30=QUARTAS!K$48,Pesos!$O$3,0))*IF(COUNTIF(K$27:K$47,K30)=1,2,1)</f>
        <v>#N/A</v>
      </c>
      <c r="M30" s="9" t="str">
        <f>VLOOKUP($B30,Form_Quartas!$C$2:$W$57,14,FALSE)</f>
        <v>#N/A</v>
      </c>
      <c r="N30" s="9" t="s">
        <v>98</v>
      </c>
      <c r="O30" s="9" t="str">
        <f>VLOOKUP($B30,Form_Quartas!$C$2:$W$57,15,FALSE)</f>
        <v>#N/A</v>
      </c>
      <c r="P30" s="47" t="str">
        <f t="shared" si="8"/>
        <v>#N/A</v>
      </c>
      <c r="Q30" s="48" t="str">
        <f>IF(M30=QUARTAS!M$48,IF(QUARTAS!O$48=O30,Pesos!$O$6,IF(P30=QUARTAS!P$48,Pesos!$O$3,0)),IF(P30=QUARTAS!P$48,Pesos!$O$3,0))*IF(COUNTIF(P$27:P$47,P30)=1,2,1)</f>
        <v>#N/A</v>
      </c>
      <c r="R30" s="9" t="str">
        <f>VLOOKUP($B30,Form_Quartas!$C$2:$W$57,19,FALSE)</f>
        <v>#N/A</v>
      </c>
      <c r="S30" s="9" t="s">
        <v>98</v>
      </c>
      <c r="T30" s="9" t="str">
        <f>VLOOKUP($B30,Form_Quartas!$C$2:$W$57,20,FALSE)</f>
        <v>#N/A</v>
      </c>
      <c r="U30" s="47" t="str">
        <f t="shared" si="9"/>
        <v>#N/A</v>
      </c>
      <c r="V30" s="48" t="str">
        <f>IF(R30=QUARTAS!R$48,IF(QUARTAS!T$48=T30,Pesos!$O$6,IF(U30=QUARTAS!U$48,Pesos!$O$3,0)),IF(U30=QUARTAS!U$48,Pesos!$O$3,0))*IF(COUNTIF(U$27:U$47,U30)=1,2,1)</f>
        <v>#N/A</v>
      </c>
      <c r="W30" s="41"/>
      <c r="X30" s="41" t="str">
        <f t="shared" si="10"/>
        <v>#N/A</v>
      </c>
    </row>
    <row r="31" ht="14.25" customHeight="1">
      <c r="A31" s="41"/>
      <c r="B31" s="51" t="s">
        <v>13</v>
      </c>
      <c r="C31" s="9" t="str">
        <f>VLOOKUP($B31,Form_Quartas!$C$2:$W$57,4,FALSE)</f>
        <v>#N/A</v>
      </c>
      <c r="D31" s="9" t="s">
        <v>98</v>
      </c>
      <c r="E31" s="9" t="str">
        <f>VLOOKUP($B31,Form_Quartas!$C$2:$W$57,5,FALSE)</f>
        <v>#N/A</v>
      </c>
      <c r="F31" s="47" t="str">
        <f t="shared" si="6"/>
        <v>#N/A</v>
      </c>
      <c r="G31" s="48" t="str">
        <f>IF(C31=QUARTAS!C$48,IF(QUARTAS!E$48=E31,Pesos!$O$6,IF(F31=QUARTAS!F$48,Pesos!$O$3,0)),IF(F31=QUARTAS!F$48,Pesos!$O$3,0))*IF(COUNTIF(F$27:F$47,F31)=1,2,1)</f>
        <v>#N/A</v>
      </c>
      <c r="H31" s="9" t="str">
        <f>VLOOKUP($B31,Form_Quartas!$C$2:$W$57,9,FALSE)</f>
        <v>#N/A</v>
      </c>
      <c r="I31" s="9" t="s">
        <v>98</v>
      </c>
      <c r="J31" s="9" t="str">
        <f>VLOOKUP($B31,Form_Quartas!$C$2:$W$57,10,FALSE)</f>
        <v>#N/A</v>
      </c>
      <c r="K31" s="47" t="str">
        <f t="shared" si="7"/>
        <v>#N/A</v>
      </c>
      <c r="L31" s="48" t="str">
        <f>IF(H31=QUARTAS!H$48,IF(QUARTAS!J$48=J31,Pesos!$O$6,IF(K31=QUARTAS!K$48,Pesos!$O$3,0)),IF(K31=QUARTAS!K$48,Pesos!$O$3,0))*IF(COUNTIF(K$27:K$47,K31)=1,2,1)</f>
        <v>#N/A</v>
      </c>
      <c r="M31" s="9" t="str">
        <f>VLOOKUP($B31,Form_Quartas!$C$2:$W$57,14,FALSE)</f>
        <v>#N/A</v>
      </c>
      <c r="N31" s="9" t="s">
        <v>98</v>
      </c>
      <c r="O31" s="9" t="str">
        <f>VLOOKUP($B31,Form_Quartas!$C$2:$W$57,15,FALSE)</f>
        <v>#N/A</v>
      </c>
      <c r="P31" s="47" t="str">
        <f t="shared" si="8"/>
        <v>#N/A</v>
      </c>
      <c r="Q31" s="48" t="str">
        <f>IF(M31=QUARTAS!M$48,IF(QUARTAS!O$48=O31,Pesos!$O$6,IF(P31=QUARTAS!P$48,Pesos!$O$3,0)),IF(P31=QUARTAS!P$48,Pesos!$O$3,0))*IF(COUNTIF(P$27:P$47,P31)=1,2,1)</f>
        <v>#N/A</v>
      </c>
      <c r="R31" s="9" t="str">
        <f>VLOOKUP($B31,Form_Quartas!$C$2:$W$57,19,FALSE)</f>
        <v>#N/A</v>
      </c>
      <c r="S31" s="9" t="s">
        <v>98</v>
      </c>
      <c r="T31" s="9" t="str">
        <f>VLOOKUP($B31,Form_Quartas!$C$2:$W$57,20,FALSE)</f>
        <v>#N/A</v>
      </c>
      <c r="U31" s="47" t="str">
        <f t="shared" si="9"/>
        <v>#N/A</v>
      </c>
      <c r="V31" s="48" t="str">
        <f>IF(R31=QUARTAS!R$48,IF(QUARTAS!T$48=T31,Pesos!$O$6,IF(U31=QUARTAS!U$48,Pesos!$O$3,0)),IF(U31=QUARTAS!U$48,Pesos!$O$3,0))*IF(COUNTIF(U$27:U$47,U31)=1,2,1)</f>
        <v>#N/A</v>
      </c>
      <c r="W31" s="41"/>
      <c r="X31" s="41" t="str">
        <f t="shared" si="10"/>
        <v>#N/A</v>
      </c>
    </row>
    <row r="32" ht="14.25" customHeight="1">
      <c r="A32" s="41"/>
      <c r="B32" s="51" t="s">
        <v>14</v>
      </c>
      <c r="C32" s="9" t="str">
        <f>VLOOKUP($B32,Form_Quartas!$C$2:$W$57,4,FALSE)</f>
        <v>#N/A</v>
      </c>
      <c r="D32" s="9" t="s">
        <v>98</v>
      </c>
      <c r="E32" s="9" t="str">
        <f>VLOOKUP($B32,Form_Quartas!$C$2:$W$57,5,FALSE)</f>
        <v>#N/A</v>
      </c>
      <c r="F32" s="47" t="str">
        <f t="shared" si="6"/>
        <v>#N/A</v>
      </c>
      <c r="G32" s="48" t="str">
        <f>IF(C32=QUARTAS!C$48,IF(QUARTAS!E$48=E32,Pesos!$O$6,IF(F32=QUARTAS!F$48,Pesos!$O$3,0)),IF(F32=QUARTAS!F$48,Pesos!$O$3,0))*IF(COUNTIF(F$27:F$47,F32)=1,2,1)</f>
        <v>#N/A</v>
      </c>
      <c r="H32" s="9" t="str">
        <f>VLOOKUP($B32,Form_Quartas!$C$2:$W$57,9,FALSE)</f>
        <v>#N/A</v>
      </c>
      <c r="I32" s="9" t="s">
        <v>98</v>
      </c>
      <c r="J32" s="9" t="str">
        <f>VLOOKUP($B32,Form_Quartas!$C$2:$W$57,10,FALSE)</f>
        <v>#N/A</v>
      </c>
      <c r="K32" s="47" t="str">
        <f t="shared" si="7"/>
        <v>#N/A</v>
      </c>
      <c r="L32" s="48" t="str">
        <f>IF(H32=QUARTAS!H$48,IF(QUARTAS!J$48=J32,Pesos!$O$6,IF(K32=QUARTAS!K$48,Pesos!$O$3,0)),IF(K32=QUARTAS!K$48,Pesos!$O$3,0))*IF(COUNTIF(K$27:K$47,K32)=1,2,1)</f>
        <v>#N/A</v>
      </c>
      <c r="M32" s="9" t="str">
        <f>VLOOKUP($B32,Form_Quartas!$C$2:$W$57,14,FALSE)</f>
        <v>#N/A</v>
      </c>
      <c r="N32" s="9" t="s">
        <v>98</v>
      </c>
      <c r="O32" s="9" t="str">
        <f>VLOOKUP($B32,Form_Quartas!$C$2:$W$57,15,FALSE)</f>
        <v>#N/A</v>
      </c>
      <c r="P32" s="47" t="str">
        <f t="shared" si="8"/>
        <v>#N/A</v>
      </c>
      <c r="Q32" s="48" t="str">
        <f>IF(M32=QUARTAS!M$48,IF(QUARTAS!O$48=O32,Pesos!$O$6,IF(P32=QUARTAS!P$48,Pesos!$O$3,0)),IF(P32=QUARTAS!P$48,Pesos!$O$3,0))*IF(COUNTIF(P$27:P$47,P32)=1,2,1)</f>
        <v>#N/A</v>
      </c>
      <c r="R32" s="9" t="str">
        <f>VLOOKUP($B32,Form_Quartas!$C$2:$W$57,19,FALSE)</f>
        <v>#N/A</v>
      </c>
      <c r="S32" s="9" t="s">
        <v>98</v>
      </c>
      <c r="T32" s="9" t="str">
        <f>VLOOKUP($B32,Form_Quartas!$C$2:$W$57,20,FALSE)</f>
        <v>#N/A</v>
      </c>
      <c r="U32" s="47" t="str">
        <f t="shared" si="9"/>
        <v>#N/A</v>
      </c>
      <c r="V32" s="48" t="str">
        <f>IF(R32=QUARTAS!R$48,IF(QUARTAS!T$48=T32,Pesos!$O$6,IF(U32=QUARTAS!U$48,Pesos!$O$3,0)),IF(U32=QUARTAS!U$48,Pesos!$O$3,0))*IF(COUNTIF(U$27:U$47,U32)=1,2,1)</f>
        <v>#N/A</v>
      </c>
      <c r="W32" s="41"/>
      <c r="X32" s="41" t="str">
        <f t="shared" si="10"/>
        <v>#N/A</v>
      </c>
    </row>
    <row r="33" ht="14.25" customHeight="1">
      <c r="A33" s="41"/>
      <c r="B33" s="51" t="s">
        <v>6</v>
      </c>
      <c r="C33" s="9" t="str">
        <f>VLOOKUP($B33,Form_Quartas!$C$2:$W$57,4,FALSE)</f>
        <v>#N/A</v>
      </c>
      <c r="D33" s="48" t="s">
        <v>98</v>
      </c>
      <c r="E33" s="9" t="str">
        <f>VLOOKUP($B33,Form_Quartas!$C$2:$W$57,5,FALSE)</f>
        <v>#N/A</v>
      </c>
      <c r="F33" s="47" t="str">
        <f t="shared" si="6"/>
        <v>#N/A</v>
      </c>
      <c r="G33" s="48" t="str">
        <f>IF(C33=QUARTAS!C$48,IF(QUARTAS!E$48=E33,Pesos!$O$6,IF(F33=QUARTAS!F$48,Pesos!$O$3,0)),IF(F33=QUARTAS!F$48,Pesos!$O$3,0))*IF(COUNTIF(F$27:F$47,F33)=1,2,1)</f>
        <v>#N/A</v>
      </c>
      <c r="H33" s="9" t="str">
        <f>VLOOKUP($B33,Form_Quartas!$C$2:$W$57,9,FALSE)</f>
        <v>#N/A</v>
      </c>
      <c r="I33" s="48" t="s">
        <v>98</v>
      </c>
      <c r="J33" s="9" t="str">
        <f>VLOOKUP($B33,Form_Quartas!$C$2:$W$57,10,FALSE)</f>
        <v>#N/A</v>
      </c>
      <c r="K33" s="47" t="str">
        <f t="shared" si="7"/>
        <v>#N/A</v>
      </c>
      <c r="L33" s="48" t="str">
        <f>IF(H33=QUARTAS!H$48,IF(QUARTAS!J$48=J33,Pesos!$O$6,IF(K33=QUARTAS!K$48,Pesos!$O$3,0)),IF(K33=QUARTAS!K$48,Pesos!$O$3,0))*IF(COUNTIF(K$27:K$47,K33)=1,2,1)</f>
        <v>#N/A</v>
      </c>
      <c r="M33" s="9" t="str">
        <f>VLOOKUP($B33,Form_Quartas!$C$2:$W$57,14,FALSE)</f>
        <v>#N/A</v>
      </c>
      <c r="N33" s="48" t="s">
        <v>98</v>
      </c>
      <c r="O33" s="9" t="str">
        <f>VLOOKUP($B33,Form_Quartas!$C$2:$W$57,15,FALSE)</f>
        <v>#N/A</v>
      </c>
      <c r="P33" s="47" t="str">
        <f t="shared" si="8"/>
        <v>#N/A</v>
      </c>
      <c r="Q33" s="48" t="str">
        <f>IF(M33=QUARTAS!M$48,IF(QUARTAS!O$48=O33,Pesos!$O$6,IF(P33=QUARTAS!P$48,Pesos!$O$3,0)),IF(P33=QUARTAS!P$48,Pesos!$O$3,0))*IF(COUNTIF(P$27:P$47,P33)=1,2,1)</f>
        <v>#N/A</v>
      </c>
      <c r="R33" s="9" t="str">
        <f>VLOOKUP($B33,Form_Quartas!$C$2:$W$57,19,FALSE)</f>
        <v>#N/A</v>
      </c>
      <c r="S33" s="48" t="s">
        <v>98</v>
      </c>
      <c r="T33" s="9" t="str">
        <f>VLOOKUP($B33,Form_Quartas!$C$2:$W$57,20,FALSE)</f>
        <v>#N/A</v>
      </c>
      <c r="U33" s="47" t="str">
        <f t="shared" si="9"/>
        <v>#N/A</v>
      </c>
      <c r="V33" s="48" t="str">
        <f>IF(R33=QUARTAS!R$48,IF(QUARTAS!T$48=T33,Pesos!$O$6,IF(U33=QUARTAS!U$48,Pesos!$O$3,0)),IF(U33=QUARTAS!U$48,Pesos!$O$3,0))*IF(COUNTIF(U$27:U$47,U33)=1,2,1)</f>
        <v>#N/A</v>
      </c>
      <c r="W33" s="41"/>
      <c r="X33" s="41" t="str">
        <f t="shared" si="10"/>
        <v>#N/A</v>
      </c>
    </row>
    <row r="34" ht="14.25" customHeight="1">
      <c r="A34" s="41"/>
      <c r="B34" s="51" t="s">
        <v>5</v>
      </c>
      <c r="C34" s="9" t="str">
        <f>VLOOKUP($B34,Form_Quartas!$C$2:$W$57,4,FALSE)</f>
        <v>#N/A</v>
      </c>
      <c r="D34" s="48" t="s">
        <v>98</v>
      </c>
      <c r="E34" s="9" t="str">
        <f>VLOOKUP($B34,Form_Quartas!$C$2:$W$57,5,FALSE)</f>
        <v>#N/A</v>
      </c>
      <c r="F34" s="47" t="str">
        <f t="shared" si="6"/>
        <v>#N/A</v>
      </c>
      <c r="G34" s="48" t="str">
        <f>IF(C34=QUARTAS!C$48,IF(QUARTAS!E$48=E34,Pesos!$O$6,IF(F34=QUARTAS!F$48,Pesos!$O$3,0)),IF(F34=QUARTAS!F$48,Pesos!$O$3,0))*IF(COUNTIF(F$27:F$47,F34)=1,2,1)</f>
        <v>#N/A</v>
      </c>
      <c r="H34" s="9" t="str">
        <f>VLOOKUP($B34,Form_Quartas!$C$2:$W$57,9,FALSE)</f>
        <v>#N/A</v>
      </c>
      <c r="I34" s="48" t="s">
        <v>98</v>
      </c>
      <c r="J34" s="9" t="str">
        <f>VLOOKUP($B34,Form_Quartas!$C$2:$W$57,10,FALSE)</f>
        <v>#N/A</v>
      </c>
      <c r="K34" s="47" t="str">
        <f t="shared" si="7"/>
        <v>#N/A</v>
      </c>
      <c r="L34" s="48" t="str">
        <f>IF(H34=QUARTAS!H$48,IF(QUARTAS!J$48=J34,Pesos!$O$6,IF(K34=QUARTAS!K$48,Pesos!$O$3,0)),IF(K34=QUARTAS!K$48,Pesos!$O$3,0))*IF(COUNTIF(K$27:K$47,K34)=1,2,1)</f>
        <v>#N/A</v>
      </c>
      <c r="M34" s="9" t="str">
        <f>VLOOKUP($B34,Form_Quartas!$C$2:$W$57,14,FALSE)</f>
        <v>#N/A</v>
      </c>
      <c r="N34" s="9" t="s">
        <v>98</v>
      </c>
      <c r="O34" s="9" t="str">
        <f>VLOOKUP($B34,Form_Quartas!$C$2:$W$57,15,FALSE)</f>
        <v>#N/A</v>
      </c>
      <c r="P34" s="47" t="str">
        <f t="shared" si="8"/>
        <v>#N/A</v>
      </c>
      <c r="Q34" s="48" t="str">
        <f>IF(M34=QUARTAS!M$48,IF(QUARTAS!O$48=O34,Pesos!$O$6,IF(P34=QUARTAS!P$48,Pesos!$O$3,0)),IF(P34=QUARTAS!P$48,Pesos!$O$3,0))*IF(COUNTIF(P$27:P$47,P34)=1,2,1)</f>
        <v>#N/A</v>
      </c>
      <c r="R34" s="9" t="str">
        <f>VLOOKUP($B34,Form_Quartas!$C$2:$W$57,19,FALSE)</f>
        <v>#N/A</v>
      </c>
      <c r="S34" s="9" t="s">
        <v>98</v>
      </c>
      <c r="T34" s="9" t="str">
        <f>VLOOKUP($B34,Form_Quartas!$C$2:$W$57,20,FALSE)</f>
        <v>#N/A</v>
      </c>
      <c r="U34" s="47" t="str">
        <f t="shared" si="9"/>
        <v>#N/A</v>
      </c>
      <c r="V34" s="48" t="str">
        <f>IF(R34=QUARTAS!R$48,IF(QUARTAS!T$48=T34,Pesos!$O$6,IF(U34=QUARTAS!U$48,Pesos!$O$3,0)),IF(U34=QUARTAS!U$48,Pesos!$O$3,0))*IF(COUNTIF(U$27:U$47,U34)=1,2,1)</f>
        <v>#N/A</v>
      </c>
      <c r="W34" s="41"/>
      <c r="X34" s="41" t="str">
        <f t="shared" si="10"/>
        <v>#N/A</v>
      </c>
    </row>
    <row r="35" ht="14.25" customHeight="1">
      <c r="A35" s="41"/>
      <c r="B35" s="51" t="s">
        <v>4</v>
      </c>
      <c r="C35" s="9" t="str">
        <f>VLOOKUP($B35,Form_Quartas!$C$2:$W$57,4,FALSE)</f>
        <v>#N/A</v>
      </c>
      <c r="D35" s="9" t="s">
        <v>98</v>
      </c>
      <c r="E35" s="9" t="str">
        <f>VLOOKUP($B35,Form_Quartas!$C$2:$W$57,5,FALSE)</f>
        <v>#N/A</v>
      </c>
      <c r="F35" s="47" t="str">
        <f t="shared" si="6"/>
        <v>#N/A</v>
      </c>
      <c r="G35" s="48" t="str">
        <f>IF(C35=QUARTAS!C$48,IF(QUARTAS!E$48=E35,Pesos!$O$6,IF(F35=QUARTAS!F$48,Pesos!$O$3,0)),IF(F35=QUARTAS!F$48,Pesos!$O$3,0))*IF(COUNTIF(F$27:F$47,F35)=1,2,1)</f>
        <v>#N/A</v>
      </c>
      <c r="H35" s="9" t="str">
        <f>VLOOKUP($B35,Form_Quartas!$C$2:$W$57,9,FALSE)</f>
        <v>#N/A</v>
      </c>
      <c r="I35" s="9" t="s">
        <v>98</v>
      </c>
      <c r="J35" s="9" t="str">
        <f>VLOOKUP($B35,Form_Quartas!$C$2:$W$57,10,FALSE)</f>
        <v>#N/A</v>
      </c>
      <c r="K35" s="47" t="str">
        <f t="shared" si="7"/>
        <v>#N/A</v>
      </c>
      <c r="L35" s="48" t="str">
        <f>IF(H35=QUARTAS!H$48,IF(QUARTAS!J$48=J35,Pesos!$O$6,IF(K35=QUARTAS!K$48,Pesos!$O$3,0)),IF(K35=QUARTAS!K$48,Pesos!$O$3,0))*IF(COUNTIF(K$27:K$47,K35)=1,2,1)</f>
        <v>#N/A</v>
      </c>
      <c r="M35" s="9" t="str">
        <f>VLOOKUP($B35,Form_Quartas!$C$2:$W$57,14,FALSE)</f>
        <v>#N/A</v>
      </c>
      <c r="N35" s="9" t="s">
        <v>98</v>
      </c>
      <c r="O35" s="9" t="str">
        <f>VLOOKUP($B35,Form_Quartas!$C$2:$W$57,15,FALSE)</f>
        <v>#N/A</v>
      </c>
      <c r="P35" s="47" t="str">
        <f t="shared" si="8"/>
        <v>#N/A</v>
      </c>
      <c r="Q35" s="48" t="str">
        <f>IF(M35=QUARTAS!M$48,IF(QUARTAS!O$48=O35,Pesos!$O$6,IF(P35=QUARTAS!P$48,Pesos!$O$3,0)),IF(P35=QUARTAS!P$48,Pesos!$O$3,0))*IF(COUNTIF(P$27:P$47,P35)=1,2,1)</f>
        <v>#N/A</v>
      </c>
      <c r="R35" s="9" t="str">
        <f>VLOOKUP($B35,Form_Quartas!$C$2:$W$57,19,FALSE)</f>
        <v>#N/A</v>
      </c>
      <c r="S35" s="9" t="s">
        <v>98</v>
      </c>
      <c r="T35" s="9" t="str">
        <f>VLOOKUP($B35,Form_Quartas!$C$2:$W$57,20,FALSE)</f>
        <v>#N/A</v>
      </c>
      <c r="U35" s="47" t="str">
        <f t="shared" si="9"/>
        <v>#N/A</v>
      </c>
      <c r="V35" s="48" t="str">
        <f>IF(R35=QUARTAS!R$48,IF(QUARTAS!T$48=T35,Pesos!$O$6,IF(U35=QUARTAS!U$48,Pesos!$O$3,0)),IF(U35=QUARTAS!U$48,Pesos!$O$3,0))*IF(COUNTIF(U$27:U$47,U35)=1,2,1)</f>
        <v>#N/A</v>
      </c>
      <c r="W35" s="41"/>
      <c r="X35" s="41" t="str">
        <f t="shared" si="10"/>
        <v>#N/A</v>
      </c>
    </row>
    <row r="36" ht="14.25" customHeight="1">
      <c r="A36" s="41"/>
      <c r="B36" s="51" t="s">
        <v>18</v>
      </c>
      <c r="C36" s="9" t="str">
        <f>VLOOKUP($B36,Form_Quartas!$C$2:$W$57,4,FALSE)</f>
        <v>#N/A</v>
      </c>
      <c r="D36" s="9" t="s">
        <v>98</v>
      </c>
      <c r="E36" s="9" t="str">
        <f>VLOOKUP($B36,Form_Quartas!$C$2:$W$57,5,FALSE)</f>
        <v>#N/A</v>
      </c>
      <c r="F36" s="47" t="str">
        <f t="shared" si="6"/>
        <v>#N/A</v>
      </c>
      <c r="G36" s="48" t="str">
        <f>IF(C36=QUARTAS!C$48,IF(QUARTAS!E$48=E36,Pesos!$O$6,IF(F36=QUARTAS!F$48,Pesos!$O$3,0)),IF(F36=QUARTAS!F$48,Pesos!$O$3,0))*IF(COUNTIF(F$27:F$47,F36)=1,2,1)</f>
        <v>#N/A</v>
      </c>
      <c r="H36" s="9" t="str">
        <f>VLOOKUP($B36,Form_Quartas!$C$2:$W$57,9,FALSE)</f>
        <v>#N/A</v>
      </c>
      <c r="I36" s="9" t="s">
        <v>98</v>
      </c>
      <c r="J36" s="9" t="str">
        <f>VLOOKUP($B36,Form_Quartas!$C$2:$W$57,10,FALSE)</f>
        <v>#N/A</v>
      </c>
      <c r="K36" s="47" t="str">
        <f t="shared" si="7"/>
        <v>#N/A</v>
      </c>
      <c r="L36" s="48" t="str">
        <f>IF(H36=QUARTAS!H$48,IF(QUARTAS!J$48=J36,Pesos!$O$6,IF(K36=QUARTAS!K$48,Pesos!$O$3,0)),IF(K36=QUARTAS!K$48,Pesos!$O$3,0))*IF(COUNTIF(K$27:K$47,K36)=1,2,1)</f>
        <v>#N/A</v>
      </c>
      <c r="M36" s="9" t="str">
        <f>VLOOKUP($B36,Form_Quartas!$C$2:$W$57,14,FALSE)</f>
        <v>#N/A</v>
      </c>
      <c r="N36" s="9" t="s">
        <v>98</v>
      </c>
      <c r="O36" s="9" t="str">
        <f>VLOOKUP($B36,Form_Quartas!$C$2:$W$57,15,FALSE)</f>
        <v>#N/A</v>
      </c>
      <c r="P36" s="47" t="str">
        <f t="shared" si="8"/>
        <v>#N/A</v>
      </c>
      <c r="Q36" s="48" t="str">
        <f>IF(M36=QUARTAS!M$48,IF(QUARTAS!O$48=O36,Pesos!$O$6,IF(P36=QUARTAS!P$48,Pesos!$O$3,0)),IF(P36=QUARTAS!P$48,Pesos!$O$3,0))*IF(COUNTIF(P$27:P$47,P36)=1,2,1)</f>
        <v>#N/A</v>
      </c>
      <c r="R36" s="9" t="str">
        <f>VLOOKUP($B36,Form_Quartas!$C$2:$W$57,19,FALSE)</f>
        <v>#N/A</v>
      </c>
      <c r="S36" s="9" t="s">
        <v>98</v>
      </c>
      <c r="T36" s="9" t="str">
        <f>VLOOKUP($B36,Form_Quartas!$C$2:$W$57,20,FALSE)</f>
        <v>#N/A</v>
      </c>
      <c r="U36" s="47" t="str">
        <f t="shared" si="9"/>
        <v>#N/A</v>
      </c>
      <c r="V36" s="48" t="str">
        <f>IF(R36=QUARTAS!R$48,IF(QUARTAS!T$48=T36,Pesos!$O$6,IF(U36=QUARTAS!U$48,Pesos!$O$3,0)),IF(U36=QUARTAS!U$48,Pesos!$O$3,0))*IF(COUNTIF(U$27:U$47,U36)=1,2,1)</f>
        <v>#N/A</v>
      </c>
      <c r="W36" s="41"/>
      <c r="X36" s="41" t="str">
        <f t="shared" si="10"/>
        <v>#N/A</v>
      </c>
    </row>
    <row r="37" ht="14.25" customHeight="1">
      <c r="A37" s="41"/>
      <c r="B37" s="51" t="s">
        <v>2</v>
      </c>
      <c r="C37" s="9" t="str">
        <f>VLOOKUP($B37,Form_Quartas!$C$2:$W$57,4,FALSE)</f>
        <v>#N/A</v>
      </c>
      <c r="D37" s="9" t="s">
        <v>98</v>
      </c>
      <c r="E37" s="9" t="str">
        <f>VLOOKUP($B37,Form_Quartas!$C$2:$W$57,5,FALSE)</f>
        <v>#N/A</v>
      </c>
      <c r="F37" s="47" t="str">
        <f t="shared" si="6"/>
        <v>#N/A</v>
      </c>
      <c r="G37" s="48" t="str">
        <f>IF(C37=QUARTAS!C$48,IF(QUARTAS!E$48=E37,Pesos!$O$6,IF(F37=QUARTAS!F$48,Pesos!$O$3,0)),IF(F37=QUARTAS!F$48,Pesos!$O$3,0))*IF(COUNTIF(F$27:F$47,F37)=1,2,1)</f>
        <v>#N/A</v>
      </c>
      <c r="H37" s="9" t="str">
        <f>VLOOKUP($B37,Form_Quartas!$C$2:$W$57,9,FALSE)</f>
        <v>#N/A</v>
      </c>
      <c r="I37" s="9" t="s">
        <v>98</v>
      </c>
      <c r="J37" s="9" t="str">
        <f>VLOOKUP($B37,Form_Quartas!$C$2:$W$57,10,FALSE)</f>
        <v>#N/A</v>
      </c>
      <c r="K37" s="47" t="str">
        <f t="shared" si="7"/>
        <v>#N/A</v>
      </c>
      <c r="L37" s="48" t="str">
        <f>IF(H37=QUARTAS!H$48,IF(QUARTAS!J$48=J37,Pesos!$O$6,IF(K37=QUARTAS!K$48,Pesos!$O$3,0)),IF(K37=QUARTAS!K$48,Pesos!$O$3,0))*IF(COUNTIF(K$27:K$47,K37)=1,2,1)</f>
        <v>#N/A</v>
      </c>
      <c r="M37" s="9" t="str">
        <f>VLOOKUP($B37,Form_Quartas!$C$2:$W$57,14,FALSE)</f>
        <v>#N/A</v>
      </c>
      <c r="N37" s="9" t="s">
        <v>98</v>
      </c>
      <c r="O37" s="9" t="str">
        <f>VLOOKUP($B37,Form_Quartas!$C$2:$W$57,15,FALSE)</f>
        <v>#N/A</v>
      </c>
      <c r="P37" s="47" t="str">
        <f t="shared" si="8"/>
        <v>#N/A</v>
      </c>
      <c r="Q37" s="48" t="str">
        <f>IF(M37=QUARTAS!M$48,IF(QUARTAS!O$48=O37,Pesos!$O$6,IF(P37=QUARTAS!P$48,Pesos!$O$3,0)),IF(P37=QUARTAS!P$48,Pesos!$O$3,0))*IF(COUNTIF(P$27:P$47,P37)=1,2,1)</f>
        <v>#N/A</v>
      </c>
      <c r="R37" s="9" t="str">
        <f>VLOOKUP($B37,Form_Quartas!$C$2:$W$57,19,FALSE)</f>
        <v>#N/A</v>
      </c>
      <c r="S37" s="9" t="s">
        <v>98</v>
      </c>
      <c r="T37" s="9" t="str">
        <f>VLOOKUP($B37,Form_Quartas!$C$2:$W$57,20,FALSE)</f>
        <v>#N/A</v>
      </c>
      <c r="U37" s="47" t="str">
        <f t="shared" si="9"/>
        <v>#N/A</v>
      </c>
      <c r="V37" s="48" t="str">
        <f>IF(R37=QUARTAS!R$48,IF(QUARTAS!T$48=T37,Pesos!$O$6,IF(U37=QUARTAS!U$48,Pesos!$O$3,0)),IF(U37=QUARTAS!U$48,Pesos!$O$3,0))*IF(COUNTIF(U$27:U$47,U37)=1,2,1)</f>
        <v>#N/A</v>
      </c>
      <c r="W37" s="41"/>
      <c r="X37" s="41" t="str">
        <f t="shared" si="10"/>
        <v>#N/A</v>
      </c>
    </row>
    <row r="38" ht="14.25" customHeight="1">
      <c r="A38" s="41"/>
      <c r="B38" s="51" t="s">
        <v>15</v>
      </c>
      <c r="C38" s="9">
        <f>VLOOKUP($B38,Form_Quartas!$C$2:$W$57,4,FALSE)</f>
        <v>1</v>
      </c>
      <c r="D38" s="9" t="s">
        <v>98</v>
      </c>
      <c r="E38" s="9">
        <f>VLOOKUP($B38,Form_Quartas!$C$2:$W$57,5,FALSE)</f>
        <v>2</v>
      </c>
      <c r="F38" s="47" t="str">
        <f t="shared" si="6"/>
        <v>visita</v>
      </c>
      <c r="G38" s="48">
        <f>IF(C38=QUARTAS!C$48,IF(QUARTAS!E$48=E38,Pesos!$O$6,IF(F38=QUARTAS!F$48,Pesos!$O$3,0)),IF(F38=QUARTAS!F$48,Pesos!$O$3,0))*IF(COUNTIF(F$27:F$47,F38)=1,2,1)</f>
        <v>0</v>
      </c>
      <c r="H38" s="9">
        <f>VLOOKUP($B38,Form_Quartas!$C$2:$W$57,9,FALSE)</f>
        <v>1</v>
      </c>
      <c r="I38" s="9" t="s">
        <v>98</v>
      </c>
      <c r="J38" s="9">
        <f>VLOOKUP($B38,Form_Quartas!$C$2:$W$57,10,FALSE)</f>
        <v>1</v>
      </c>
      <c r="K38" s="47" t="str">
        <f t="shared" si="7"/>
        <v>empate</v>
      </c>
      <c r="L38" s="48">
        <f>IF(H38=QUARTAS!H$48,IF(QUARTAS!J$48=J38,Pesos!$O$6,IF(K38=QUARTAS!K$48,Pesos!$O$3,0)),IF(K38=QUARTAS!K$48,Pesos!$O$3,0))*IF(COUNTIF(K$27:K$47,K38)=1,2,1)</f>
        <v>0</v>
      </c>
      <c r="M38" s="9">
        <f>VLOOKUP($B38,Form_Quartas!$C$2:$W$57,14,FALSE)</f>
        <v>1</v>
      </c>
      <c r="N38" s="9" t="s">
        <v>98</v>
      </c>
      <c r="O38" s="9">
        <f>VLOOKUP($B38,Form_Quartas!$C$2:$W$57,15,FALSE)</f>
        <v>2</v>
      </c>
      <c r="P38" s="47" t="str">
        <f t="shared" si="8"/>
        <v>visita</v>
      </c>
      <c r="Q38" s="48">
        <f>IF(M38=QUARTAS!M$48,IF(QUARTAS!O$48=O38,Pesos!$O$6,IF(P38=QUARTAS!P$48,Pesos!$O$3,0)),IF(P38=QUARTAS!P$48,Pesos!$O$3,0))*IF(COUNTIF(P$27:P$47,P38)=1,2,1)</f>
        <v>0</v>
      </c>
      <c r="R38" s="9">
        <f>VLOOKUP($B38,Form_Quartas!$C$2:$W$57,19,FALSE)</f>
        <v>3</v>
      </c>
      <c r="S38" s="9" t="s">
        <v>98</v>
      </c>
      <c r="T38" s="9">
        <f>VLOOKUP($B38,Form_Quartas!$C$2:$W$57,20,FALSE)</f>
        <v>1</v>
      </c>
      <c r="U38" s="47" t="str">
        <f t="shared" si="9"/>
        <v>casa</v>
      </c>
      <c r="V38" s="48">
        <f>IF(R38=QUARTAS!R$48,IF(QUARTAS!T$48=T38,Pesos!$O$6,IF(U38=QUARTAS!U$48,Pesos!$O$3,0)),IF(U38=QUARTAS!U$48,Pesos!$O$3,0))*IF(COUNTIF(U$27:U$47,U38)=1,2,1)</f>
        <v>0</v>
      </c>
      <c r="W38" s="41"/>
      <c r="X38" s="41">
        <f t="shared" si="10"/>
        <v>0</v>
      </c>
    </row>
    <row r="39" ht="14.25" customHeight="1">
      <c r="A39" s="41"/>
      <c r="B39" s="51" t="s">
        <v>12</v>
      </c>
      <c r="C39" s="9" t="str">
        <f>VLOOKUP($B39,Form_Quartas!$C$2:$W$57,4,FALSE)</f>
        <v>#N/A</v>
      </c>
      <c r="D39" s="9" t="s">
        <v>98</v>
      </c>
      <c r="E39" s="9" t="str">
        <f>VLOOKUP($B39,Form_Quartas!$C$2:$W$57,5,FALSE)</f>
        <v>#N/A</v>
      </c>
      <c r="F39" s="47" t="str">
        <f t="shared" si="6"/>
        <v>#N/A</v>
      </c>
      <c r="G39" s="48" t="str">
        <f>IF(C39=QUARTAS!C$48,IF(QUARTAS!E$48=E39,Pesos!$O$6,IF(F39=QUARTAS!F$48,Pesos!$O$3,0)),IF(F39=QUARTAS!F$48,Pesos!$O$3,0))*IF(COUNTIF(F$27:F$47,F39)=1,2,1)</f>
        <v>#N/A</v>
      </c>
      <c r="H39" s="9" t="str">
        <f>VLOOKUP($B39,Form_Quartas!$C$2:$W$57,9,FALSE)</f>
        <v>#N/A</v>
      </c>
      <c r="I39" s="9" t="s">
        <v>98</v>
      </c>
      <c r="J39" s="9" t="str">
        <f>VLOOKUP($B39,Form_Quartas!$C$2:$W$57,10,FALSE)</f>
        <v>#N/A</v>
      </c>
      <c r="K39" s="47" t="str">
        <f t="shared" si="7"/>
        <v>#N/A</v>
      </c>
      <c r="L39" s="48" t="str">
        <f>IF(H39=QUARTAS!H$48,IF(QUARTAS!J$48=J39,Pesos!$O$6,IF(K39=QUARTAS!K$48,Pesos!$O$3,0)),IF(K39=QUARTAS!K$48,Pesos!$O$3,0))*IF(COUNTIF(K$27:K$47,K39)=1,2,1)</f>
        <v>#N/A</v>
      </c>
      <c r="M39" s="9" t="str">
        <f>VLOOKUP($B39,Form_Quartas!$C$2:$W$57,14,FALSE)</f>
        <v>#N/A</v>
      </c>
      <c r="N39" s="9" t="s">
        <v>98</v>
      </c>
      <c r="O39" s="9" t="str">
        <f>VLOOKUP($B39,Form_Quartas!$C$2:$W$57,15,FALSE)</f>
        <v>#N/A</v>
      </c>
      <c r="P39" s="47" t="str">
        <f t="shared" si="8"/>
        <v>#N/A</v>
      </c>
      <c r="Q39" s="48" t="str">
        <f>IF(M39=QUARTAS!M$48,IF(QUARTAS!O$48=O39,Pesos!$O$6,IF(P39=QUARTAS!P$48,Pesos!$O$3,0)),IF(P39=QUARTAS!P$48,Pesos!$O$3,0))*IF(COUNTIF(P$27:P$47,P39)=1,2,1)</f>
        <v>#N/A</v>
      </c>
      <c r="R39" s="9" t="str">
        <f>VLOOKUP($B39,Form_Quartas!$C$2:$W$57,19,FALSE)</f>
        <v>#N/A</v>
      </c>
      <c r="S39" s="9" t="s">
        <v>98</v>
      </c>
      <c r="T39" s="9" t="str">
        <f>VLOOKUP($B39,Form_Quartas!$C$2:$W$57,20,FALSE)</f>
        <v>#N/A</v>
      </c>
      <c r="U39" s="47" t="str">
        <f t="shared" si="9"/>
        <v>#N/A</v>
      </c>
      <c r="V39" s="48" t="str">
        <f>IF(R39=QUARTAS!R$48,IF(QUARTAS!T$48=T39,Pesos!$O$6,IF(U39=QUARTAS!U$48,Pesos!$O$3,0)),IF(U39=QUARTAS!U$48,Pesos!$O$3,0))*IF(COUNTIF(U$27:U$47,U39)=1,2,1)</f>
        <v>#N/A</v>
      </c>
      <c r="W39" s="41"/>
      <c r="X39" s="41" t="str">
        <f t="shared" si="10"/>
        <v>#N/A</v>
      </c>
    </row>
    <row r="40" ht="14.25" customHeight="1">
      <c r="A40" s="41"/>
      <c r="B40" s="51" t="s">
        <v>8</v>
      </c>
      <c r="C40" s="9">
        <f>VLOOKUP($B40,Form_Quartas!$C$2:$W$57,4,FALSE)</f>
        <v>2</v>
      </c>
      <c r="D40" s="9" t="s">
        <v>98</v>
      </c>
      <c r="E40" s="9">
        <f>VLOOKUP($B40,Form_Quartas!$C$2:$W$57,5,FALSE)</f>
        <v>1</v>
      </c>
      <c r="F40" s="47" t="str">
        <f t="shared" si="6"/>
        <v>casa</v>
      </c>
      <c r="G40" s="48">
        <f>IF(C40=QUARTAS!C$48,IF(QUARTAS!E$48=E40,Pesos!$O$6,IF(F40=QUARTAS!F$48,Pesos!$O$3,0)),IF(F40=QUARTAS!F$48,Pesos!$O$3,0))*IF(COUNTIF(F$27:F$47,F40)=1,2,1)</f>
        <v>0</v>
      </c>
      <c r="H40" s="9">
        <f>VLOOKUP($B40,Form_Quartas!$C$2:$W$57,9,FALSE)</f>
        <v>2</v>
      </c>
      <c r="I40" s="9" t="s">
        <v>98</v>
      </c>
      <c r="J40" s="9">
        <f>VLOOKUP($B40,Form_Quartas!$C$2:$W$57,10,FALSE)</f>
        <v>1</v>
      </c>
      <c r="K40" s="47" t="str">
        <f t="shared" si="7"/>
        <v>casa</v>
      </c>
      <c r="L40" s="48">
        <f>IF(H40=QUARTAS!H$48,IF(QUARTAS!J$48=J40,Pesos!$O$6,IF(K40=QUARTAS!K$48,Pesos!$O$3,0)),IF(K40=QUARTAS!K$48,Pesos!$O$3,0))*IF(COUNTIF(K$27:K$47,K40)=1,2,1)</f>
        <v>0</v>
      </c>
      <c r="M40" s="9">
        <f>VLOOKUP($B40,Form_Quartas!$C$2:$W$57,14,FALSE)</f>
        <v>3</v>
      </c>
      <c r="N40" s="9" t="s">
        <v>98</v>
      </c>
      <c r="O40" s="9">
        <f>VLOOKUP($B40,Form_Quartas!$C$2:$W$57,15,FALSE)</f>
        <v>3</v>
      </c>
      <c r="P40" s="47" t="str">
        <f t="shared" si="8"/>
        <v>empate</v>
      </c>
      <c r="Q40" s="48">
        <f>IF(M40=QUARTAS!M$48,IF(QUARTAS!O$48=O40,Pesos!$O$6,IF(P40=QUARTAS!P$48,Pesos!$O$3,0)),IF(P40=QUARTAS!P$48,Pesos!$O$3,0))*IF(COUNTIF(P$27:P$47,P40)=1,2,1)</f>
        <v>0</v>
      </c>
      <c r="R40" s="9">
        <f>VLOOKUP($B40,Form_Quartas!$C$2:$W$57,19,FALSE)</f>
        <v>3</v>
      </c>
      <c r="S40" s="9" t="s">
        <v>98</v>
      </c>
      <c r="T40" s="9">
        <f>VLOOKUP($B40,Form_Quartas!$C$2:$W$57,20,FALSE)</f>
        <v>1</v>
      </c>
      <c r="U40" s="47" t="str">
        <f t="shared" si="9"/>
        <v>casa</v>
      </c>
      <c r="V40" s="48">
        <f>IF(R40=QUARTAS!R$48,IF(QUARTAS!T$48=T40,Pesos!$O$6,IF(U40=QUARTAS!U$48,Pesos!$O$3,0)),IF(U40=QUARTAS!U$48,Pesos!$O$3,0))*IF(COUNTIF(U$27:U$47,U40)=1,2,1)</f>
        <v>0</v>
      </c>
      <c r="W40" s="41"/>
      <c r="X40" s="41">
        <f t="shared" si="10"/>
        <v>0</v>
      </c>
    </row>
    <row r="41" ht="14.25" customHeight="1">
      <c r="A41" s="41"/>
      <c r="B41" s="51" t="s">
        <v>16</v>
      </c>
      <c r="C41" s="9">
        <f>VLOOKUP($B41,Form_Quartas!$C$2:$W$57,4,FALSE)</f>
        <v>3</v>
      </c>
      <c r="D41" s="9" t="s">
        <v>98</v>
      </c>
      <c r="E41" s="9">
        <f>VLOOKUP($B41,Form_Quartas!$C$2:$W$57,5,FALSE)</f>
        <v>2</v>
      </c>
      <c r="F41" s="47" t="str">
        <f t="shared" si="6"/>
        <v>casa</v>
      </c>
      <c r="G41" s="48">
        <f>IF(C41=QUARTAS!C$48,IF(QUARTAS!E$48=E41,Pesos!$O$6,IF(F41=QUARTAS!F$48,Pesos!$O$3,0)),IF(F41=QUARTAS!F$48,Pesos!$O$3,0))*IF(COUNTIF(F$27:F$47,F41)=1,2,1)</f>
        <v>0</v>
      </c>
      <c r="H41" s="9">
        <f>VLOOKUP($B41,Form_Quartas!$C$2:$W$57,9,FALSE)</f>
        <v>3</v>
      </c>
      <c r="I41" s="9" t="s">
        <v>98</v>
      </c>
      <c r="J41" s="9">
        <f>VLOOKUP($B41,Form_Quartas!$C$2:$W$57,10,FALSE)</f>
        <v>1</v>
      </c>
      <c r="K41" s="47" t="str">
        <f t="shared" si="7"/>
        <v>casa</v>
      </c>
      <c r="L41" s="48">
        <f>IF(H41=QUARTAS!H$48,IF(QUARTAS!J$48=J41,Pesos!$O$6,IF(K41=QUARTAS!K$48,Pesos!$O$3,0)),IF(K41=QUARTAS!K$48,Pesos!$O$3,0))*IF(COUNTIF(K$27:K$47,K41)=1,2,1)</f>
        <v>0</v>
      </c>
      <c r="M41" s="9">
        <f>VLOOKUP($B41,Form_Quartas!$C$2:$W$57,14,FALSE)</f>
        <v>2</v>
      </c>
      <c r="N41" s="9" t="s">
        <v>98</v>
      </c>
      <c r="O41" s="9">
        <f>VLOOKUP($B41,Form_Quartas!$C$2:$W$57,15,FALSE)</f>
        <v>2</v>
      </c>
      <c r="P41" s="47" t="str">
        <f t="shared" si="8"/>
        <v>empate</v>
      </c>
      <c r="Q41" s="48">
        <f>IF(M41=QUARTAS!M$48,IF(QUARTAS!O$48=O41,Pesos!$O$6,IF(P41=QUARTAS!P$48,Pesos!$O$3,0)),IF(P41=QUARTAS!P$48,Pesos!$O$3,0))*IF(COUNTIF(P$27:P$47,P41)=1,2,1)</f>
        <v>0</v>
      </c>
      <c r="R41" s="9">
        <f>VLOOKUP($B41,Form_Quartas!$C$2:$W$57,19,FALSE)</f>
        <v>4</v>
      </c>
      <c r="S41" s="9" t="s">
        <v>98</v>
      </c>
      <c r="T41" s="9">
        <f>VLOOKUP($B41,Form_Quartas!$C$2:$W$57,20,FALSE)</f>
        <v>0</v>
      </c>
      <c r="U41" s="47" t="str">
        <f t="shared" si="9"/>
        <v>casa</v>
      </c>
      <c r="V41" s="48">
        <f>IF(R41=QUARTAS!R$48,IF(QUARTAS!T$48=T41,Pesos!$O$6,IF(U41=QUARTAS!U$48,Pesos!$O$3,0)),IF(U41=QUARTAS!U$48,Pesos!$O$3,0))*IF(COUNTIF(U$27:U$47,U41)=1,2,1)</f>
        <v>0</v>
      </c>
      <c r="W41" s="41"/>
      <c r="X41" s="41">
        <f t="shared" si="10"/>
        <v>0</v>
      </c>
    </row>
    <row r="42" ht="14.25" customHeight="1">
      <c r="A42" s="41"/>
      <c r="B42" s="51" t="s">
        <v>11</v>
      </c>
      <c r="C42" s="9" t="str">
        <f>VLOOKUP($B42,Form_Quartas!$C$2:$W$57,4,FALSE)</f>
        <v>#N/A</v>
      </c>
      <c r="D42" s="9" t="s">
        <v>98</v>
      </c>
      <c r="E42" s="9" t="str">
        <f>VLOOKUP($B42,Form_Quartas!$C$2:$W$57,5,FALSE)</f>
        <v>#N/A</v>
      </c>
      <c r="F42" s="47" t="str">
        <f t="shared" si="6"/>
        <v>#N/A</v>
      </c>
      <c r="G42" s="48" t="str">
        <f>IF(C42=QUARTAS!C$48,IF(QUARTAS!E$48=E42,Pesos!$O$6,IF(F42=QUARTAS!F$48,Pesos!$O$3,0)),IF(F42=QUARTAS!F$48,Pesos!$O$3,0))*IF(COUNTIF(F$27:F$47,F42)=1,2,1)</f>
        <v>#N/A</v>
      </c>
      <c r="H42" s="9" t="str">
        <f>VLOOKUP($B42,Form_Quartas!$C$2:$W$57,9,FALSE)</f>
        <v>#N/A</v>
      </c>
      <c r="I42" s="9" t="s">
        <v>98</v>
      </c>
      <c r="J42" s="9" t="str">
        <f>VLOOKUP($B42,Form_Quartas!$C$2:$W$57,10,FALSE)</f>
        <v>#N/A</v>
      </c>
      <c r="K42" s="47" t="str">
        <f t="shared" si="7"/>
        <v>#N/A</v>
      </c>
      <c r="L42" s="48" t="str">
        <f>IF(H42=QUARTAS!H$48,IF(QUARTAS!J$48=J42,Pesos!$O$6,IF(K42=QUARTAS!K$48,Pesos!$O$3,0)),IF(K42=QUARTAS!K$48,Pesos!$O$3,0))*IF(COUNTIF(K$27:K$47,K42)=1,2,1)</f>
        <v>#N/A</v>
      </c>
      <c r="M42" s="9" t="str">
        <f>VLOOKUP($B42,Form_Quartas!$C$2:$W$57,14,FALSE)</f>
        <v>#N/A</v>
      </c>
      <c r="N42" s="9" t="s">
        <v>98</v>
      </c>
      <c r="O42" s="9" t="str">
        <f>VLOOKUP($B42,Form_Quartas!$C$2:$W$57,15,FALSE)</f>
        <v>#N/A</v>
      </c>
      <c r="P42" s="47" t="str">
        <f t="shared" si="8"/>
        <v>#N/A</v>
      </c>
      <c r="Q42" s="48" t="str">
        <f>IF(M42=QUARTAS!M$48,IF(QUARTAS!O$48=O42,Pesos!$O$6,IF(P42=QUARTAS!P$48,Pesos!$O$3,0)),IF(P42=QUARTAS!P$48,Pesos!$O$3,0))*IF(COUNTIF(P$27:P$47,P42)=1,2,1)</f>
        <v>#N/A</v>
      </c>
      <c r="R42" s="9" t="str">
        <f>VLOOKUP($B42,Form_Quartas!$C$2:$W$57,19,FALSE)</f>
        <v>#N/A</v>
      </c>
      <c r="S42" s="9" t="s">
        <v>98</v>
      </c>
      <c r="T42" s="9" t="str">
        <f>VLOOKUP($B42,Form_Quartas!$C$2:$W$57,20,FALSE)</f>
        <v>#N/A</v>
      </c>
      <c r="U42" s="47" t="str">
        <f t="shared" si="9"/>
        <v>#N/A</v>
      </c>
      <c r="V42" s="48" t="str">
        <f>IF(R42=QUARTAS!R$48,IF(QUARTAS!T$48=T42,Pesos!$O$6,IF(U42=QUARTAS!U$48,Pesos!$O$3,0)),IF(U42=QUARTAS!U$48,Pesos!$O$3,0))*IF(COUNTIF(U$27:U$47,U42)=1,2,1)</f>
        <v>#N/A</v>
      </c>
      <c r="W42" s="41"/>
      <c r="X42" s="41" t="str">
        <f t="shared" si="10"/>
        <v>#N/A</v>
      </c>
    </row>
    <row r="43" ht="14.25" customHeight="1">
      <c r="A43" s="41"/>
      <c r="B43" s="51" t="s">
        <v>7</v>
      </c>
      <c r="C43" s="9" t="str">
        <f>VLOOKUP($B43,Form_Quartas!$C$2:$W$57,4,FALSE)</f>
        <v>#N/A</v>
      </c>
      <c r="D43" s="48" t="s">
        <v>98</v>
      </c>
      <c r="E43" s="9" t="str">
        <f>VLOOKUP($B43,Form_Quartas!$C$2:$W$57,5,FALSE)</f>
        <v>#N/A</v>
      </c>
      <c r="F43" s="47" t="str">
        <f t="shared" si="6"/>
        <v>#N/A</v>
      </c>
      <c r="G43" s="48" t="str">
        <f>IF(C43=QUARTAS!C$48,IF(QUARTAS!E$48=E43,Pesos!$O$6,IF(F43=QUARTAS!F$48,Pesos!$O$3,0)),IF(F43=QUARTAS!F$48,Pesos!$O$3,0))*IF(COUNTIF(F$27:F$47,F43)=1,2,1)</f>
        <v>#N/A</v>
      </c>
      <c r="H43" s="9" t="str">
        <f>VLOOKUP($B43,Form_Quartas!$C$2:$W$57,9,FALSE)</f>
        <v>#N/A</v>
      </c>
      <c r="I43" s="48" t="s">
        <v>98</v>
      </c>
      <c r="J43" s="9" t="str">
        <f>VLOOKUP($B43,Form_Quartas!$C$2:$W$57,10,FALSE)</f>
        <v>#N/A</v>
      </c>
      <c r="K43" s="47" t="str">
        <f t="shared" si="7"/>
        <v>#N/A</v>
      </c>
      <c r="L43" s="48" t="str">
        <f>IF(H43=QUARTAS!H$48,IF(QUARTAS!J$48=J43,Pesos!$O$6,IF(K43=QUARTAS!K$48,Pesos!$O$3,0)),IF(K43=QUARTAS!K$48,Pesos!$O$3,0))*IF(COUNTIF(K$27:K$47,K43)=1,2,1)</f>
        <v>#N/A</v>
      </c>
      <c r="M43" s="9" t="str">
        <f>VLOOKUP($B43,Form_Quartas!$C$2:$W$57,14,FALSE)</f>
        <v>#N/A</v>
      </c>
      <c r="N43" s="9" t="s">
        <v>98</v>
      </c>
      <c r="O43" s="9" t="str">
        <f>VLOOKUP($B43,Form_Quartas!$C$2:$W$57,15,FALSE)</f>
        <v>#N/A</v>
      </c>
      <c r="P43" s="47" t="str">
        <f t="shared" si="8"/>
        <v>#N/A</v>
      </c>
      <c r="Q43" s="48" t="str">
        <f>IF(M43=QUARTAS!M$48,IF(QUARTAS!O$48=O43,Pesos!$O$6,IF(P43=QUARTAS!P$48,Pesos!$O$3,0)),IF(P43=QUARTAS!P$48,Pesos!$O$3,0))*IF(COUNTIF(P$27:P$47,P43)=1,2,1)</f>
        <v>#N/A</v>
      </c>
      <c r="R43" s="9" t="str">
        <f>VLOOKUP($B43,Form_Quartas!$C$2:$W$57,19,FALSE)</f>
        <v>#N/A</v>
      </c>
      <c r="S43" s="48" t="s">
        <v>98</v>
      </c>
      <c r="T43" s="9" t="str">
        <f>VLOOKUP($B43,Form_Quartas!$C$2:$W$57,20,FALSE)</f>
        <v>#N/A</v>
      </c>
      <c r="U43" s="47" t="str">
        <f t="shared" si="9"/>
        <v>#N/A</v>
      </c>
      <c r="V43" s="48" t="str">
        <f>IF(R43=QUARTAS!R$48,IF(QUARTAS!T$48=T43,Pesos!$O$6,IF(U43=QUARTAS!U$48,Pesos!$O$3,0)),IF(U43=QUARTAS!U$48,Pesos!$O$3,0))*IF(COUNTIF(U$27:U$47,U43)=1,2,1)</f>
        <v>#N/A</v>
      </c>
      <c r="W43" s="41"/>
      <c r="X43" s="41" t="str">
        <f t="shared" si="10"/>
        <v>#N/A</v>
      </c>
    </row>
    <row r="44" ht="14.25" customHeight="1">
      <c r="A44" s="41"/>
      <c r="B44" s="51" t="s">
        <v>19</v>
      </c>
      <c r="C44" s="9" t="str">
        <f>VLOOKUP($B44,Form_Quartas!$C$2:$W$57,4,FALSE)</f>
        <v>#N/A</v>
      </c>
      <c r="D44" s="57" t="s">
        <v>98</v>
      </c>
      <c r="E44" s="9" t="str">
        <f>VLOOKUP($B44,Form_Quartas!$C$2:$W$57,5,FALSE)</f>
        <v>#N/A</v>
      </c>
      <c r="F44" s="47" t="str">
        <f t="shared" si="6"/>
        <v>#N/A</v>
      </c>
      <c r="G44" s="48" t="str">
        <f>IF(C44=QUARTAS!C$48,IF(QUARTAS!E$48=E44,Pesos!$O$6,IF(F44=QUARTAS!F$48,Pesos!$O$3,0)),IF(F44=QUARTAS!F$48,Pesos!$O$3,0))*IF(COUNTIF(F$27:F$47,F44)=1,2,1)</f>
        <v>#N/A</v>
      </c>
      <c r="H44" s="9" t="str">
        <f>VLOOKUP($B44,Form_Quartas!$C$2:$W$57,9,FALSE)</f>
        <v>#N/A</v>
      </c>
      <c r="I44" s="57" t="s">
        <v>98</v>
      </c>
      <c r="J44" s="9" t="str">
        <f>VLOOKUP($B44,Form_Quartas!$C$2:$W$57,10,FALSE)</f>
        <v>#N/A</v>
      </c>
      <c r="K44" s="47" t="str">
        <f t="shared" si="7"/>
        <v>#N/A</v>
      </c>
      <c r="L44" s="48" t="str">
        <f>IF(H44=QUARTAS!H$48,IF(QUARTAS!J$48=J44,Pesos!$O$6,IF(K44=QUARTAS!K$48,Pesos!$O$3,0)),IF(K44=QUARTAS!K$48,Pesos!$O$3,0))*IF(COUNTIF(K$27:K$47,K44)=1,2,1)</f>
        <v>#N/A</v>
      </c>
      <c r="M44" s="9" t="str">
        <f>VLOOKUP($B44,Form_Quartas!$C$2:$W$57,14,FALSE)</f>
        <v>#N/A</v>
      </c>
      <c r="N44" s="46" t="s">
        <v>98</v>
      </c>
      <c r="O44" s="9" t="str">
        <f>VLOOKUP($B44,Form_Quartas!$C$2:$W$57,15,FALSE)</f>
        <v>#N/A</v>
      </c>
      <c r="P44" s="47" t="str">
        <f t="shared" si="8"/>
        <v>#N/A</v>
      </c>
      <c r="Q44" s="48" t="str">
        <f>IF(M44=QUARTAS!M$48,IF(QUARTAS!O$48=O44,Pesos!$O$6,IF(P44=QUARTAS!P$48,Pesos!$O$3,0)),IF(P44=QUARTAS!P$48,Pesos!$O$3,0))*IF(COUNTIF(P$27:P$47,P44)=1,2,1)</f>
        <v>#N/A</v>
      </c>
      <c r="R44" s="9" t="str">
        <f>VLOOKUP($B44,Form_Quartas!$C$2:$W$57,19,FALSE)</f>
        <v>#N/A</v>
      </c>
      <c r="S44" s="57" t="s">
        <v>98</v>
      </c>
      <c r="T44" s="9" t="str">
        <f>VLOOKUP($B44,Form_Quartas!$C$2:$W$57,20,FALSE)</f>
        <v>#N/A</v>
      </c>
      <c r="U44" s="47" t="str">
        <f t="shared" si="9"/>
        <v>#N/A</v>
      </c>
      <c r="V44" s="48" t="str">
        <f>IF(R44=QUARTAS!R$48,IF(QUARTAS!T$48=T44,Pesos!$O$6,IF(U44=QUARTAS!U$48,Pesos!$O$3,0)),IF(U44=QUARTAS!U$48,Pesos!$O$3,0))*IF(COUNTIF(U$27:U$47,U44)=1,2,1)</f>
        <v>#N/A</v>
      </c>
      <c r="W44" s="41"/>
      <c r="X44" s="41" t="str">
        <f t="shared" si="10"/>
        <v>#N/A</v>
      </c>
    </row>
    <row r="45" ht="14.25" customHeight="1">
      <c r="A45" s="41"/>
      <c r="B45" s="52" t="s">
        <v>20</v>
      </c>
      <c r="C45" s="9" t="str">
        <f>VLOOKUP($B45,Form_Quartas!$C$2:$W$57,4,FALSE)</f>
        <v>#N/A</v>
      </c>
      <c r="D45" s="57" t="s">
        <v>98</v>
      </c>
      <c r="E45" s="9" t="str">
        <f>VLOOKUP($B45,Form_Quartas!$C$2:$W$57,5,FALSE)</f>
        <v>#N/A</v>
      </c>
      <c r="F45" s="47" t="str">
        <f t="shared" si="6"/>
        <v>#N/A</v>
      </c>
      <c r="G45" s="48" t="str">
        <f>IF(C45=QUARTAS!C$48,IF(QUARTAS!E$48=E45,Pesos!$O$6,IF(F45=QUARTAS!F$48,Pesos!$O$3,0)),IF(F45=QUARTAS!F$48,Pesos!$O$3,0))*IF(COUNTIF(F$27:F$47,F45)=1,2,1)</f>
        <v>#N/A</v>
      </c>
      <c r="H45" s="9" t="str">
        <f>VLOOKUP($B45,Form_Quartas!$C$2:$W$57,9,FALSE)</f>
        <v>#N/A</v>
      </c>
      <c r="I45" s="57" t="s">
        <v>98</v>
      </c>
      <c r="J45" s="9" t="str">
        <f>VLOOKUP($B45,Form_Quartas!$C$2:$W$57,10,FALSE)</f>
        <v>#N/A</v>
      </c>
      <c r="K45" s="47" t="str">
        <f t="shared" si="7"/>
        <v>#N/A</v>
      </c>
      <c r="L45" s="48" t="str">
        <f>IF(H45=QUARTAS!H$48,IF(QUARTAS!J$48=J45,Pesos!$O$6,IF(K45=QUARTAS!K$48,Pesos!$O$3,0)),IF(K45=QUARTAS!K$48,Pesos!$O$3,0))*IF(COUNTIF(K$27:K$47,K45)=1,2,1)</f>
        <v>#N/A</v>
      </c>
      <c r="M45" s="9" t="str">
        <f>VLOOKUP($B45,Form_Quartas!$C$2:$W$57,14,FALSE)</f>
        <v>#N/A</v>
      </c>
      <c r="N45" s="46" t="s">
        <v>98</v>
      </c>
      <c r="O45" s="9" t="str">
        <f>VLOOKUP($B45,Form_Quartas!$C$2:$W$57,15,FALSE)</f>
        <v>#N/A</v>
      </c>
      <c r="P45" s="47" t="str">
        <f t="shared" si="8"/>
        <v>#N/A</v>
      </c>
      <c r="Q45" s="48" t="str">
        <f>IF(M45=QUARTAS!M$48,IF(QUARTAS!O$48=O45,Pesos!$O$6,IF(P45=QUARTAS!P$48,Pesos!$O$3,0)),IF(P45=QUARTAS!P$48,Pesos!$O$3,0))*IF(COUNTIF(P$27:P$47,P45)=1,2,1)</f>
        <v>#N/A</v>
      </c>
      <c r="R45" s="9" t="str">
        <f>VLOOKUP($B45,Form_Quartas!$C$2:$W$57,19,FALSE)</f>
        <v>#N/A</v>
      </c>
      <c r="S45" s="57" t="s">
        <v>98</v>
      </c>
      <c r="T45" s="9" t="str">
        <f>VLOOKUP($B45,Form_Quartas!$C$2:$W$57,20,FALSE)</f>
        <v>#N/A</v>
      </c>
      <c r="U45" s="47" t="str">
        <f t="shared" si="9"/>
        <v>#N/A</v>
      </c>
      <c r="V45" s="48" t="str">
        <f>IF(R45=QUARTAS!R$48,IF(QUARTAS!T$48=T45,Pesos!$O$6,IF(U45=QUARTAS!U$48,Pesos!$O$3,0)),IF(U45=QUARTAS!U$48,Pesos!$O$3,0))*IF(COUNTIF(U$27:U$47,U45)=1,2,1)</f>
        <v>#N/A</v>
      </c>
      <c r="W45" s="41"/>
      <c r="X45" s="41" t="str">
        <f t="shared" si="10"/>
        <v>#N/A</v>
      </c>
    </row>
    <row r="46" ht="14.25" customHeight="1">
      <c r="A46" s="41"/>
      <c r="B46" s="52" t="s">
        <v>21</v>
      </c>
      <c r="C46" s="9" t="str">
        <f>VLOOKUP($B46,Form_Quartas!$C$2:$W$57,4,FALSE)</f>
        <v>#N/A</v>
      </c>
      <c r="D46" s="57" t="s">
        <v>98</v>
      </c>
      <c r="E46" s="9" t="str">
        <f>VLOOKUP($B46,Form_Quartas!$C$2:$W$57,5,FALSE)</f>
        <v>#N/A</v>
      </c>
      <c r="F46" s="47" t="str">
        <f t="shared" si="6"/>
        <v>#N/A</v>
      </c>
      <c r="G46" s="48" t="str">
        <f>IF(C46=QUARTAS!C$48,IF(QUARTAS!E$48=E46,Pesos!$O$6,IF(F46=QUARTAS!F$48,Pesos!$O$3,0)),IF(F46=QUARTAS!F$48,Pesos!$O$3,0))*IF(COUNTIF(F$27:F$47,F46)=1,2,1)</f>
        <v>#N/A</v>
      </c>
      <c r="H46" s="9" t="str">
        <f>VLOOKUP($B46,Form_Quartas!$C$2:$W$57,9,FALSE)</f>
        <v>#N/A</v>
      </c>
      <c r="I46" s="57" t="s">
        <v>98</v>
      </c>
      <c r="J46" s="9" t="str">
        <f>VLOOKUP($B46,Form_Quartas!$C$2:$W$57,10,FALSE)</f>
        <v>#N/A</v>
      </c>
      <c r="K46" s="47" t="str">
        <f t="shared" si="7"/>
        <v>#N/A</v>
      </c>
      <c r="L46" s="48" t="str">
        <f>IF(H46=QUARTAS!H$48,IF(QUARTAS!J$48=J46,Pesos!$O$6,IF(K46=QUARTAS!K$48,Pesos!$O$3,0)),IF(K46=QUARTAS!K$48,Pesos!$O$3,0))*IF(COUNTIF(K$27:K$47,K46)=1,2,1)</f>
        <v>#N/A</v>
      </c>
      <c r="M46" s="9" t="str">
        <f>VLOOKUP($B46,Form_Quartas!$C$2:$W$57,14,FALSE)</f>
        <v>#N/A</v>
      </c>
      <c r="N46" s="46" t="s">
        <v>98</v>
      </c>
      <c r="O46" s="9" t="str">
        <f>VLOOKUP($B46,Form_Quartas!$C$2:$W$57,15,FALSE)</f>
        <v>#N/A</v>
      </c>
      <c r="P46" s="47" t="str">
        <f t="shared" si="8"/>
        <v>#N/A</v>
      </c>
      <c r="Q46" s="48" t="str">
        <f>IF(M46=QUARTAS!M$48,IF(QUARTAS!O$48=O46,Pesos!$O$6,IF(P46=QUARTAS!P$48,Pesos!$O$3,0)),IF(P46=QUARTAS!P$48,Pesos!$O$3,0))*IF(COUNTIF(P$27:P$47,P46)=1,2,1)</f>
        <v>#N/A</v>
      </c>
      <c r="R46" s="9" t="str">
        <f>VLOOKUP($B46,Form_Quartas!$C$2:$W$57,19,FALSE)</f>
        <v>#N/A</v>
      </c>
      <c r="S46" s="57" t="s">
        <v>98</v>
      </c>
      <c r="T46" s="9" t="str">
        <f>VLOOKUP($B46,Form_Quartas!$C$2:$W$57,20,FALSE)</f>
        <v>#N/A</v>
      </c>
      <c r="U46" s="47" t="str">
        <f t="shared" si="9"/>
        <v>#N/A</v>
      </c>
      <c r="V46" s="48" t="str">
        <f>IF(R46=QUARTAS!R$48,IF(QUARTAS!T$48=T46,Pesos!$O$6,IF(U46=QUARTAS!U$48,Pesos!$O$3,0)),IF(U46=QUARTAS!U$48,Pesos!$O$3,0))*IF(COUNTIF(U$27:U$47,U46)=1,2,1)</f>
        <v>#N/A</v>
      </c>
      <c r="W46" s="41"/>
      <c r="X46" s="41" t="str">
        <f t="shared" si="10"/>
        <v>#N/A</v>
      </c>
    </row>
    <row r="47" ht="14.25" customHeight="1">
      <c r="A47" s="41"/>
      <c r="B47" s="52" t="s">
        <v>22</v>
      </c>
      <c r="C47" s="9" t="str">
        <f>VLOOKUP($B47,Form_Quartas!$C$2:$W$57,4,FALSE)</f>
        <v>#N/A</v>
      </c>
      <c r="D47" s="57" t="s">
        <v>98</v>
      </c>
      <c r="E47" s="9" t="str">
        <f>VLOOKUP($B47,Form_Quartas!$C$2:$W$57,5,FALSE)</f>
        <v>#N/A</v>
      </c>
      <c r="F47" s="47" t="str">
        <f t="shared" si="6"/>
        <v>#N/A</v>
      </c>
      <c r="G47" s="48" t="str">
        <f>IF(C47=QUARTAS!C$48,IF(QUARTAS!E$48=E47,Pesos!$O$6,IF(F47=QUARTAS!F$48,Pesos!$O$3,0)),IF(F47=QUARTAS!F$48,Pesos!$O$3,0))*IF(COUNTIF(F$27:F$47,F47)=1,2,1)</f>
        <v>#N/A</v>
      </c>
      <c r="H47" s="9" t="str">
        <f>VLOOKUP($B47,Form_Quartas!$C$2:$W$57,9,FALSE)</f>
        <v>#N/A</v>
      </c>
      <c r="I47" s="57" t="s">
        <v>98</v>
      </c>
      <c r="J47" s="9" t="str">
        <f>VLOOKUP($B47,Form_Quartas!$C$2:$W$57,10,FALSE)</f>
        <v>#N/A</v>
      </c>
      <c r="K47" s="47" t="str">
        <f t="shared" si="7"/>
        <v>#N/A</v>
      </c>
      <c r="L47" s="48" t="str">
        <f>IF(H47=QUARTAS!H$48,IF(QUARTAS!J$48=J47,Pesos!$O$6,IF(K47=QUARTAS!K$48,Pesos!$O$3,0)),IF(K47=QUARTAS!K$48,Pesos!$O$3,0))*IF(COUNTIF(K$27:K$47,K47)=1,2,1)</f>
        <v>#N/A</v>
      </c>
      <c r="M47" s="9" t="str">
        <f>VLOOKUP($B47,Form_Quartas!$C$2:$W$57,14,FALSE)</f>
        <v>#N/A</v>
      </c>
      <c r="N47" s="46" t="s">
        <v>98</v>
      </c>
      <c r="O47" s="9" t="str">
        <f>VLOOKUP($B47,Form_Quartas!$C$2:$W$57,15,FALSE)</f>
        <v>#N/A</v>
      </c>
      <c r="P47" s="47" t="str">
        <f t="shared" si="8"/>
        <v>#N/A</v>
      </c>
      <c r="Q47" s="48" t="str">
        <f>IF(M47=QUARTAS!M$48,IF(QUARTAS!O$48=O47,Pesos!$O$6,IF(P47=QUARTAS!P$48,Pesos!$O$3,0)),IF(P47=QUARTAS!P$48,Pesos!$O$3,0))*IF(COUNTIF(P$27:P$47,P47)=1,2,1)</f>
        <v>#N/A</v>
      </c>
      <c r="R47" s="9" t="str">
        <f>VLOOKUP($B47,Form_Quartas!$C$2:$W$57,19,FALSE)</f>
        <v>#N/A</v>
      </c>
      <c r="S47" s="57" t="s">
        <v>98</v>
      </c>
      <c r="T47" s="9" t="str">
        <f>VLOOKUP($B47,Form_Quartas!$C$2:$W$57,20,FALSE)</f>
        <v>#N/A</v>
      </c>
      <c r="U47" s="47" t="str">
        <f t="shared" si="9"/>
        <v>#N/A</v>
      </c>
      <c r="V47" s="48" t="str">
        <f>IF(R47=QUARTAS!R$48,IF(QUARTAS!T$48=T47,Pesos!$O$6,IF(U47=QUARTAS!U$48,Pesos!$O$3,0)),IF(U47=QUARTAS!U$48,Pesos!$O$3,0))*IF(COUNTIF(U$27:U$47,U47)=1,2,1)</f>
        <v>#N/A</v>
      </c>
      <c r="W47" s="41"/>
      <c r="X47" s="41" t="str">
        <f t="shared" si="10"/>
        <v>#N/A</v>
      </c>
    </row>
    <row r="48" ht="14.25" customHeight="1">
      <c r="A48" s="41"/>
      <c r="B48" s="58" t="s">
        <v>1</v>
      </c>
      <c r="C48" s="54"/>
      <c r="D48" s="54" t="s">
        <v>98</v>
      </c>
      <c r="E48" s="54"/>
      <c r="F48" s="55" t="str">
        <f>if(E48="","",IF(C48&gt;E48,"casa",IF(C48=E48,"empate","visita")))</f>
        <v/>
      </c>
      <c r="G48" s="59"/>
      <c r="H48" s="54"/>
      <c r="I48" s="54" t="s">
        <v>98</v>
      </c>
      <c r="J48" s="54"/>
      <c r="K48" s="55" t="str">
        <f>if(J48="","",IF(H48&gt;J48,"casa",IF(H48=J48,"empate","visita")))</f>
        <v/>
      </c>
      <c r="L48" s="48"/>
      <c r="M48" s="54"/>
      <c r="N48" s="54" t="s">
        <v>98</v>
      </c>
      <c r="O48" s="54"/>
      <c r="P48" s="55" t="str">
        <f>if(O48="","",IF(M48&gt;O48,"casa",IF(M48=O48,"empate","visita")))</f>
        <v/>
      </c>
      <c r="Q48" s="59"/>
      <c r="R48" s="54"/>
      <c r="S48" s="54" t="s">
        <v>98</v>
      </c>
      <c r="T48" s="54"/>
      <c r="U48" s="55" t="str">
        <f>if(T48="","",IF(R48&gt;T48,"casa",IF(R48=T48,"empate","visita")))</f>
        <v/>
      </c>
      <c r="V48" s="59"/>
      <c r="W48" s="56"/>
      <c r="X48" s="56"/>
    </row>
    <row r="49" ht="7.5" customHeight="1">
      <c r="A49" s="41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1"/>
      <c r="X49" s="41"/>
    </row>
    <row r="50" ht="14.25" customHeight="1">
      <c r="A50" s="41"/>
      <c r="B50" s="40"/>
      <c r="C50" s="60" t="s">
        <v>107</v>
      </c>
      <c r="D50" s="61"/>
      <c r="E50" s="62"/>
      <c r="F50" s="9"/>
      <c r="G50" s="9"/>
      <c r="H50" s="60" t="s">
        <v>107</v>
      </c>
      <c r="I50" s="61"/>
      <c r="J50" s="62"/>
      <c r="K50" s="9"/>
      <c r="L50" s="9"/>
      <c r="M50" s="60" t="s">
        <v>107</v>
      </c>
      <c r="N50" s="61"/>
      <c r="O50" s="62"/>
      <c r="P50" s="9"/>
      <c r="Q50" s="9"/>
      <c r="R50" s="60" t="s">
        <v>107</v>
      </c>
      <c r="S50" s="61"/>
      <c r="T50" s="62"/>
      <c r="U50" s="9"/>
      <c r="V50" s="9"/>
      <c r="W50" s="41"/>
      <c r="X50" s="41"/>
    </row>
    <row r="51" ht="14.25" customHeight="1">
      <c r="A51" s="41"/>
      <c r="B51" s="45" t="s">
        <v>9</v>
      </c>
      <c r="C51" s="71" t="str">
        <f>VLOOKUP($B51,Form_Quartas!$C$2:$W$57,6,FALSE)</f>
        <v>#N/A</v>
      </c>
      <c r="D51" s="61"/>
      <c r="E51" s="62"/>
      <c r="F51" s="9"/>
      <c r="G51" s="48" t="str">
        <f>IF(C51=C$72,Pesos!$O$4,0)*IF(COUNTIF(C$51:E$71,C51)=1,2,1)</f>
        <v>#N/A</v>
      </c>
      <c r="H51" s="71" t="str">
        <f>VLOOKUP($B51,Form_Quartas!$C$2:$W$57,11,FALSE)</f>
        <v>#N/A</v>
      </c>
      <c r="I51" s="61"/>
      <c r="J51" s="62"/>
      <c r="K51" s="9"/>
      <c r="L51" s="48" t="str">
        <f>IF(H51=H$72,Pesos!$O$4,0)*IF(COUNTIF(H$51:J$71,H51)=1,2,1)</f>
        <v>#N/A</v>
      </c>
      <c r="M51" s="71" t="str">
        <f>VLOOKUP($B51,Form_Quartas!$C$2:$W$57,16,FALSE)</f>
        <v>#N/A</v>
      </c>
      <c r="N51" s="61"/>
      <c r="O51" s="62"/>
      <c r="P51" s="9"/>
      <c r="Q51" s="48" t="str">
        <f>IF(M51=M$72,Pesos!$O$4,0)*IF(COUNTIF(M$51:O$71,M51)=1,2,1)</f>
        <v>#N/A</v>
      </c>
      <c r="R51" s="71" t="str">
        <f>VLOOKUP($B51,Form_Quartas!$C$2:$W$57,21,FALSE)</f>
        <v>#N/A</v>
      </c>
      <c r="S51" s="61"/>
      <c r="T51" s="62"/>
      <c r="U51" s="48"/>
      <c r="V51" s="48" t="str">
        <f>IF(R51=R$72,Pesos!$O$4,0)*IF(COUNTIF(R$51:T$71,R51)=1,2,1)</f>
        <v>#N/A</v>
      </c>
      <c r="W51" s="41"/>
      <c r="X51" s="41" t="str">
        <f t="shared" ref="X51:X71" si="11">IF(L51=0,0,1)+IF(Q51=0,0,1)+IF(V51=0,0,1)+IF(G51=0,0,1)</f>
        <v>#N/A</v>
      </c>
    </row>
    <row r="52" ht="14.25" customHeight="1">
      <c r="A52" s="41"/>
      <c r="B52" s="51" t="s">
        <v>10</v>
      </c>
      <c r="C52" s="71" t="str">
        <f>VLOOKUP($B52,Form_Quartas!$C$2:$W$57,6,FALSE)</f>
        <v>#N/A</v>
      </c>
      <c r="D52" s="61"/>
      <c r="E52" s="62"/>
      <c r="F52" s="9"/>
      <c r="G52" s="48" t="str">
        <f>IF(C52=C$72,Pesos!$O$4,0)*IF(COUNTIF(C$51:E$71,C52)=1,2,1)</f>
        <v>#N/A</v>
      </c>
      <c r="H52" s="71" t="str">
        <f>VLOOKUP($B52,Form_Quartas!$C$2:$W$57,11,FALSE)</f>
        <v>#N/A</v>
      </c>
      <c r="I52" s="61"/>
      <c r="J52" s="62"/>
      <c r="K52" s="9"/>
      <c r="L52" s="48" t="str">
        <f>IF(H52=H$72,Pesos!$O$4,0)*IF(COUNTIF(H$51:J$71,H52)=1,2,1)</f>
        <v>#N/A</v>
      </c>
      <c r="M52" s="71" t="str">
        <f>VLOOKUP($B52,Form_Quartas!$C$2:$W$57,16,FALSE)</f>
        <v>#N/A</v>
      </c>
      <c r="N52" s="61"/>
      <c r="O52" s="62"/>
      <c r="P52" s="9"/>
      <c r="Q52" s="48" t="str">
        <f>IF(M52=M$72,Pesos!$O$4,0)*IF(COUNTIF(M$51:O$71,M52)=1,2,1)</f>
        <v>#N/A</v>
      </c>
      <c r="R52" s="71" t="str">
        <f>VLOOKUP($B52,Form_Quartas!$C$2:$W$57,21,FALSE)</f>
        <v>#N/A</v>
      </c>
      <c r="S52" s="61"/>
      <c r="T52" s="62"/>
      <c r="U52" s="48"/>
      <c r="V52" s="48" t="str">
        <f>IF(R52=R$72,Pesos!$O$4,0)*IF(COUNTIF(R$51:T$71,R52)=1,2,1)</f>
        <v>#N/A</v>
      </c>
      <c r="W52" s="41"/>
      <c r="X52" s="41" t="str">
        <f t="shared" si="11"/>
        <v>#N/A</v>
      </c>
    </row>
    <row r="53" ht="14.25" customHeight="1">
      <c r="A53" s="41"/>
      <c r="B53" s="51" t="s">
        <v>17</v>
      </c>
      <c r="C53" s="71" t="str">
        <f>VLOOKUP($B53,Form_Quartas!$C$2:$W$57,6,FALSE)</f>
        <v>Paris Saint-Germain</v>
      </c>
      <c r="D53" s="61"/>
      <c r="E53" s="62"/>
      <c r="F53" s="9"/>
      <c r="G53" s="48">
        <f>IF(C53=C$72,Pesos!$O$4,0)*IF(COUNTIF(C$51:E$71,C53)=1,2,1)</f>
        <v>0</v>
      </c>
      <c r="H53" s="71" t="str">
        <f>VLOOKUP($B53,Form_Quartas!$C$2:$W$57,11,FALSE)</f>
        <v>Real Madrid</v>
      </c>
      <c r="I53" s="61"/>
      <c r="J53" s="62"/>
      <c r="K53" s="9"/>
      <c r="L53" s="48">
        <f>IF(H53=H$72,Pesos!$O$4,0)*IF(COUNTIF(H$51:J$71,H53)=1,2,1)</f>
        <v>0</v>
      </c>
      <c r="M53" s="71" t="str">
        <f>VLOOKUP($B53,Form_Quartas!$C$2:$W$57,16,FALSE)</f>
        <v>Barcelona</v>
      </c>
      <c r="N53" s="61"/>
      <c r="O53" s="62"/>
      <c r="P53" s="9"/>
      <c r="Q53" s="48">
        <f>IF(M53=M$72,Pesos!$O$4,0)*IF(COUNTIF(M$51:O$71,M53)=1,2,1)</f>
        <v>0</v>
      </c>
      <c r="R53" s="71" t="str">
        <f>VLOOKUP($B53,Form_Quartas!$C$2:$W$57,21,FALSE)</f>
        <v>Arsenal</v>
      </c>
      <c r="S53" s="61"/>
      <c r="T53" s="62"/>
      <c r="U53" s="48"/>
      <c r="V53" s="48">
        <f>IF(R53=R$72,Pesos!$O$4,0)*IF(COUNTIF(R$51:T$71,R53)=1,2,1)</f>
        <v>0</v>
      </c>
      <c r="W53" s="41"/>
      <c r="X53" s="41">
        <f t="shared" si="11"/>
        <v>0</v>
      </c>
    </row>
    <row r="54" ht="14.25" customHeight="1">
      <c r="A54" s="41"/>
      <c r="B54" s="51" t="s">
        <v>3</v>
      </c>
      <c r="C54" s="71" t="str">
        <f>VLOOKUP($B54,Form_Quartas!$C$2:$W$57,6,FALSE)</f>
        <v>#N/A</v>
      </c>
      <c r="D54" s="61"/>
      <c r="E54" s="62"/>
      <c r="F54" s="9"/>
      <c r="G54" s="48" t="str">
        <f>IF(C54=C$72,Pesos!$O$4,0)*IF(COUNTIF(C$51:E$71,C54)=1,2,1)</f>
        <v>#N/A</v>
      </c>
      <c r="H54" s="71" t="str">
        <f>VLOOKUP($B54,Form_Quartas!$C$2:$W$57,11,FALSE)</f>
        <v>#N/A</v>
      </c>
      <c r="I54" s="61"/>
      <c r="J54" s="62"/>
      <c r="K54" s="9"/>
      <c r="L54" s="48" t="str">
        <f>IF(H54=H$72,Pesos!$O$4,0)*IF(COUNTIF(H$51:J$71,H54)=1,2,1)</f>
        <v>#N/A</v>
      </c>
      <c r="M54" s="71" t="str">
        <f>VLOOKUP($B54,Form_Quartas!$C$2:$W$57,16,FALSE)</f>
        <v>#N/A</v>
      </c>
      <c r="N54" s="61"/>
      <c r="O54" s="62"/>
      <c r="P54" s="9"/>
      <c r="Q54" s="48" t="str">
        <f>IF(M54=M$72,Pesos!$O$4,0)*IF(COUNTIF(M$51:O$71,M54)=1,2,1)</f>
        <v>#N/A</v>
      </c>
      <c r="R54" s="71" t="str">
        <f>VLOOKUP($B54,Form_Quartas!$C$2:$W$57,21,FALSE)</f>
        <v>#N/A</v>
      </c>
      <c r="S54" s="61"/>
      <c r="T54" s="62"/>
      <c r="U54" s="48"/>
      <c r="V54" s="48" t="str">
        <f>IF(R54=R$72,Pesos!$O$4,0)*IF(COUNTIF(R$51:T$71,R54)=1,2,1)</f>
        <v>#N/A</v>
      </c>
      <c r="W54" s="41"/>
      <c r="X54" s="41" t="str">
        <f t="shared" si="11"/>
        <v>#N/A</v>
      </c>
    </row>
    <row r="55" ht="14.25" customHeight="1">
      <c r="A55" s="41"/>
      <c r="B55" s="51" t="s">
        <v>13</v>
      </c>
      <c r="C55" s="71" t="str">
        <f>VLOOKUP($B55,Form_Quartas!$C$2:$W$57,6,FALSE)</f>
        <v>#N/A</v>
      </c>
      <c r="D55" s="61"/>
      <c r="E55" s="62"/>
      <c r="F55" s="9"/>
      <c r="G55" s="48" t="str">
        <f>IF(C55=C$72,Pesos!$O$4,0)*IF(COUNTIF(C$51:E$71,C55)=1,2,1)</f>
        <v>#N/A</v>
      </c>
      <c r="H55" s="71" t="str">
        <f>VLOOKUP($B55,Form_Quartas!$C$2:$W$57,11,FALSE)</f>
        <v>#N/A</v>
      </c>
      <c r="I55" s="61"/>
      <c r="J55" s="62"/>
      <c r="K55" s="9"/>
      <c r="L55" s="48" t="str">
        <f>IF(H55=H$72,Pesos!$O$4,0)*IF(COUNTIF(H$51:J$71,H55)=1,2,1)</f>
        <v>#N/A</v>
      </c>
      <c r="M55" s="71" t="str">
        <f>VLOOKUP($B55,Form_Quartas!$C$2:$W$57,16,FALSE)</f>
        <v>#N/A</v>
      </c>
      <c r="N55" s="61"/>
      <c r="O55" s="62"/>
      <c r="P55" s="9"/>
      <c r="Q55" s="48" t="str">
        <f>IF(M55=M$72,Pesos!$O$4,0)*IF(COUNTIF(M$51:O$71,M55)=1,2,1)</f>
        <v>#N/A</v>
      </c>
      <c r="R55" s="71" t="str">
        <f>VLOOKUP($B55,Form_Quartas!$C$2:$W$57,21,FALSE)</f>
        <v>#N/A</v>
      </c>
      <c r="S55" s="61"/>
      <c r="T55" s="62"/>
      <c r="U55" s="48"/>
      <c r="V55" s="48" t="str">
        <f>IF(R55=R$72,Pesos!$O$4,0)*IF(COUNTIF(R$51:T$71,R55)=1,2,1)</f>
        <v>#N/A</v>
      </c>
      <c r="W55" s="41"/>
      <c r="X55" s="41" t="str">
        <f t="shared" si="11"/>
        <v>#N/A</v>
      </c>
    </row>
    <row r="56" ht="14.25" customHeight="1">
      <c r="A56" s="41"/>
      <c r="B56" s="51" t="s">
        <v>14</v>
      </c>
      <c r="C56" s="71" t="str">
        <f>VLOOKUP($B56,Form_Quartas!$C$2:$W$57,6,FALSE)</f>
        <v>#N/A</v>
      </c>
      <c r="D56" s="61"/>
      <c r="E56" s="62"/>
      <c r="F56" s="9"/>
      <c r="G56" s="48" t="str">
        <f>IF(C56=C$72,Pesos!$O$4,0)*IF(COUNTIF(C$51:E$71,C56)=1,2,1)</f>
        <v>#N/A</v>
      </c>
      <c r="H56" s="71" t="str">
        <f>VLOOKUP($B56,Form_Quartas!$C$2:$W$57,11,FALSE)</f>
        <v>#N/A</v>
      </c>
      <c r="I56" s="61"/>
      <c r="J56" s="62"/>
      <c r="K56" s="9"/>
      <c r="L56" s="48" t="str">
        <f>IF(H56=H$72,Pesos!$O$4,0)*IF(COUNTIF(H$51:J$71,H56)=1,2,1)</f>
        <v>#N/A</v>
      </c>
      <c r="M56" s="71" t="str">
        <f>VLOOKUP($B56,Form_Quartas!$C$2:$W$57,16,FALSE)</f>
        <v>#N/A</v>
      </c>
      <c r="N56" s="61"/>
      <c r="O56" s="62"/>
      <c r="P56" s="9"/>
      <c r="Q56" s="48" t="str">
        <f>IF(M56=M$72,Pesos!$O$4,0)*IF(COUNTIF(M$51:O$71,M56)=1,2,1)</f>
        <v>#N/A</v>
      </c>
      <c r="R56" s="71" t="str">
        <f>VLOOKUP($B56,Form_Quartas!$C$2:$W$57,21,FALSE)</f>
        <v>#N/A</v>
      </c>
      <c r="S56" s="61"/>
      <c r="T56" s="62"/>
      <c r="U56" s="48"/>
      <c r="V56" s="48" t="str">
        <f>IF(R56=R$72,Pesos!$O$4,0)*IF(COUNTIF(R$51:T$71,R56)=1,2,1)</f>
        <v>#N/A</v>
      </c>
      <c r="W56" s="41"/>
      <c r="X56" s="41" t="str">
        <f t="shared" si="11"/>
        <v>#N/A</v>
      </c>
    </row>
    <row r="57" ht="14.25" customHeight="1">
      <c r="A57" s="41"/>
      <c r="B57" s="51" t="s">
        <v>6</v>
      </c>
      <c r="C57" s="71" t="str">
        <f>VLOOKUP($B57,Form_Quartas!$C$2:$W$57,6,FALSE)</f>
        <v>#N/A</v>
      </c>
      <c r="D57" s="61"/>
      <c r="E57" s="62"/>
      <c r="F57" s="48"/>
      <c r="G57" s="48" t="str">
        <f>IF(C57=C$72,Pesos!$O$4,0)*IF(COUNTIF(C$51:E$71,C57)=1,2,1)</f>
        <v>#N/A</v>
      </c>
      <c r="H57" s="71" t="str">
        <f>VLOOKUP($B57,Form_Quartas!$C$2:$W$57,11,FALSE)</f>
        <v>#N/A</v>
      </c>
      <c r="I57" s="61"/>
      <c r="J57" s="62"/>
      <c r="K57" s="48"/>
      <c r="L57" s="48" t="str">
        <f>IF(H57=H$72,Pesos!$O$4,0)*IF(COUNTIF(H$51:J$71,H57)=1,2,1)</f>
        <v>#N/A</v>
      </c>
      <c r="M57" s="71" t="str">
        <f>VLOOKUP($B57,Form_Quartas!$C$2:$W$57,16,FALSE)</f>
        <v>#N/A</v>
      </c>
      <c r="N57" s="61"/>
      <c r="O57" s="62"/>
      <c r="P57" s="48"/>
      <c r="Q57" s="48" t="str">
        <f>IF(M57=M$72,Pesos!$O$4,0)*IF(COUNTIF(M$51:O$71,M57)=1,2,1)</f>
        <v>#N/A</v>
      </c>
      <c r="R57" s="71" t="str">
        <f>VLOOKUP($B57,Form_Quartas!$C$2:$W$57,21,FALSE)</f>
        <v>#N/A</v>
      </c>
      <c r="S57" s="61"/>
      <c r="T57" s="62"/>
      <c r="U57" s="48"/>
      <c r="V57" s="48" t="str">
        <f>IF(R57=R$72,Pesos!$O$4,0)*IF(COUNTIF(R$51:T$71,R57)=1,2,1)</f>
        <v>#N/A</v>
      </c>
      <c r="W57" s="41"/>
      <c r="X57" s="41" t="str">
        <f t="shared" si="11"/>
        <v>#N/A</v>
      </c>
    </row>
    <row r="58" ht="14.25" customHeight="1">
      <c r="A58" s="41"/>
      <c r="B58" s="51" t="s">
        <v>5</v>
      </c>
      <c r="C58" s="71" t="str">
        <f>VLOOKUP($B58,Form_Quartas!$C$2:$W$57,6,FALSE)</f>
        <v>#N/A</v>
      </c>
      <c r="D58" s="61"/>
      <c r="E58" s="62"/>
      <c r="F58" s="9"/>
      <c r="G58" s="48" t="str">
        <f>IF(C58=C$72,Pesos!$O$4,0)*IF(COUNTIF(C$51:E$71,C58)=1,2,1)</f>
        <v>#N/A</v>
      </c>
      <c r="H58" s="71" t="str">
        <f>VLOOKUP($B58,Form_Quartas!$C$2:$W$57,11,FALSE)</f>
        <v>#N/A</v>
      </c>
      <c r="I58" s="61"/>
      <c r="J58" s="62"/>
      <c r="K58" s="9"/>
      <c r="L58" s="48" t="str">
        <f>IF(H58=H$72,Pesos!$O$4,0)*IF(COUNTIF(H$51:J$71,H58)=1,2,1)</f>
        <v>#N/A</v>
      </c>
      <c r="M58" s="71" t="str">
        <f>VLOOKUP($B58,Form_Quartas!$C$2:$W$57,16,FALSE)</f>
        <v>#N/A</v>
      </c>
      <c r="N58" s="61"/>
      <c r="O58" s="62"/>
      <c r="P58" s="9"/>
      <c r="Q58" s="48" t="str">
        <f>IF(M58=M$72,Pesos!$O$4,0)*IF(COUNTIF(M$51:O$71,M58)=1,2,1)</f>
        <v>#N/A</v>
      </c>
      <c r="R58" s="71" t="str">
        <f>VLOOKUP($B58,Form_Quartas!$C$2:$W$57,21,FALSE)</f>
        <v>#N/A</v>
      </c>
      <c r="S58" s="61"/>
      <c r="T58" s="62"/>
      <c r="U58" s="48"/>
      <c r="V58" s="48" t="str">
        <f>IF(R58=R$72,Pesos!$O$4,0)*IF(COUNTIF(R$51:T$71,R58)=1,2,1)</f>
        <v>#N/A</v>
      </c>
      <c r="W58" s="41"/>
      <c r="X58" s="41" t="str">
        <f t="shared" si="11"/>
        <v>#N/A</v>
      </c>
    </row>
    <row r="59" ht="14.25" customHeight="1">
      <c r="A59" s="41"/>
      <c r="B59" s="51" t="s">
        <v>4</v>
      </c>
      <c r="C59" s="71" t="str">
        <f>VLOOKUP($B59,Form_Quartas!$C$2:$W$57,6,FALSE)</f>
        <v>#N/A</v>
      </c>
      <c r="D59" s="61"/>
      <c r="E59" s="62"/>
      <c r="F59" s="9"/>
      <c r="G59" s="48" t="str">
        <f>IF(C59=C$72,Pesos!$O$4,0)*IF(COUNTIF(C$51:E$71,C59)=1,2,1)</f>
        <v>#N/A</v>
      </c>
      <c r="H59" s="71" t="str">
        <f>VLOOKUP($B59,Form_Quartas!$C$2:$W$57,11,FALSE)</f>
        <v>#N/A</v>
      </c>
      <c r="I59" s="61"/>
      <c r="J59" s="62"/>
      <c r="K59" s="9"/>
      <c r="L59" s="48" t="str">
        <f>IF(H59=H$72,Pesos!$O$4,0)*IF(COUNTIF(H$51:J$71,H59)=1,2,1)</f>
        <v>#N/A</v>
      </c>
      <c r="M59" s="71" t="str">
        <f>VLOOKUP($B59,Form_Quartas!$C$2:$W$57,16,FALSE)</f>
        <v>#N/A</v>
      </c>
      <c r="N59" s="61"/>
      <c r="O59" s="62"/>
      <c r="P59" s="9"/>
      <c r="Q59" s="48" t="str">
        <f>IF(M59=M$72,Pesos!$O$4,0)*IF(COUNTIF(M$51:O$71,M59)=1,2,1)</f>
        <v>#N/A</v>
      </c>
      <c r="R59" s="71" t="str">
        <f>VLOOKUP($B59,Form_Quartas!$C$2:$W$57,21,FALSE)</f>
        <v>#N/A</v>
      </c>
      <c r="S59" s="61"/>
      <c r="T59" s="62"/>
      <c r="U59" s="48"/>
      <c r="V59" s="48" t="str">
        <f>IF(R59=R$72,Pesos!$O$4,0)*IF(COUNTIF(R$51:T$71,R59)=1,2,1)</f>
        <v>#N/A</v>
      </c>
      <c r="W59" s="41"/>
      <c r="X59" s="41" t="str">
        <f t="shared" si="11"/>
        <v>#N/A</v>
      </c>
    </row>
    <row r="60" ht="14.25" customHeight="1">
      <c r="A60" s="41"/>
      <c r="B60" s="51" t="s">
        <v>18</v>
      </c>
      <c r="C60" s="71" t="str">
        <f>VLOOKUP($B60,Form_Quartas!$C$2:$W$57,6,FALSE)</f>
        <v>#N/A</v>
      </c>
      <c r="D60" s="61"/>
      <c r="E60" s="62"/>
      <c r="F60" s="9"/>
      <c r="G60" s="48" t="str">
        <f>IF(C60=C$72,Pesos!$O$4,0)*IF(COUNTIF(C$51:E$71,C60)=1,2,1)</f>
        <v>#N/A</v>
      </c>
      <c r="H60" s="71" t="str">
        <f>VLOOKUP($B60,Form_Quartas!$C$2:$W$57,11,FALSE)</f>
        <v>#N/A</v>
      </c>
      <c r="I60" s="61"/>
      <c r="J60" s="62"/>
      <c r="K60" s="9"/>
      <c r="L60" s="48" t="str">
        <f>IF(H60=H$72,Pesos!$O$4,0)*IF(COUNTIF(H$51:J$71,H60)=1,2,1)</f>
        <v>#N/A</v>
      </c>
      <c r="M60" s="71" t="str">
        <f>VLOOKUP($B60,Form_Quartas!$C$2:$W$57,16,FALSE)</f>
        <v>#N/A</v>
      </c>
      <c r="N60" s="61"/>
      <c r="O60" s="62"/>
      <c r="P60" s="9"/>
      <c r="Q60" s="48" t="str">
        <f>IF(M60=M$72,Pesos!$O$4,0)*IF(COUNTIF(M$51:O$71,M60)=1,2,1)</f>
        <v>#N/A</v>
      </c>
      <c r="R60" s="71" t="str">
        <f>VLOOKUP($B60,Form_Quartas!$C$2:$W$57,21,FALSE)</f>
        <v>#N/A</v>
      </c>
      <c r="S60" s="61"/>
      <c r="T60" s="62"/>
      <c r="U60" s="48"/>
      <c r="V60" s="48" t="str">
        <f>IF(R60=R$72,Pesos!$O$4,0)*IF(COUNTIF(R$51:T$71,R60)=1,2,1)</f>
        <v>#N/A</v>
      </c>
      <c r="W60" s="41"/>
      <c r="X60" s="41" t="str">
        <f t="shared" si="11"/>
        <v>#N/A</v>
      </c>
    </row>
    <row r="61" ht="14.25" customHeight="1">
      <c r="A61" s="41"/>
      <c r="B61" s="51" t="s">
        <v>2</v>
      </c>
      <c r="C61" s="71" t="str">
        <f>VLOOKUP($B61,Form_Quartas!$C$2:$W$57,6,FALSE)</f>
        <v>#N/A</v>
      </c>
      <c r="D61" s="61"/>
      <c r="E61" s="62"/>
      <c r="F61" s="9"/>
      <c r="G61" s="48" t="str">
        <f>IF(C61=C$72,Pesos!$O$4,0)*IF(COUNTIF(C$51:E$71,C61)=1,2,1)</f>
        <v>#N/A</v>
      </c>
      <c r="H61" s="71" t="str">
        <f>VLOOKUP($B61,Form_Quartas!$C$2:$W$57,11,FALSE)</f>
        <v>#N/A</v>
      </c>
      <c r="I61" s="61"/>
      <c r="J61" s="62"/>
      <c r="K61" s="9"/>
      <c r="L61" s="48" t="str">
        <f>IF(H61=H$72,Pesos!$O$4,0)*IF(COUNTIF(H$51:J$71,H61)=1,2,1)</f>
        <v>#N/A</v>
      </c>
      <c r="M61" s="71" t="str">
        <f>VLOOKUP($B61,Form_Quartas!$C$2:$W$57,16,FALSE)</f>
        <v>#N/A</v>
      </c>
      <c r="N61" s="61"/>
      <c r="O61" s="62"/>
      <c r="P61" s="9"/>
      <c r="Q61" s="48" t="str">
        <f>IF(M61=M$72,Pesos!$O$4,0)*IF(COUNTIF(M$51:O$71,M61)=1,2,1)</f>
        <v>#N/A</v>
      </c>
      <c r="R61" s="71" t="str">
        <f>VLOOKUP($B61,Form_Quartas!$C$2:$W$57,21,FALSE)</f>
        <v>#N/A</v>
      </c>
      <c r="S61" s="61"/>
      <c r="T61" s="62"/>
      <c r="U61" s="48"/>
      <c r="V61" s="48" t="str">
        <f>IF(R61=R$72,Pesos!$O$4,0)*IF(COUNTIF(R$51:T$71,R61)=1,2,1)</f>
        <v>#N/A</v>
      </c>
      <c r="W61" s="41"/>
      <c r="X61" s="41" t="str">
        <f t="shared" si="11"/>
        <v>#N/A</v>
      </c>
    </row>
    <row r="62" ht="14.25" customHeight="1">
      <c r="A62" s="41"/>
      <c r="B62" s="51" t="s">
        <v>15</v>
      </c>
      <c r="C62" s="71" t="str">
        <f>VLOOKUP($B62,Form_Quartas!$C$2:$W$57,6,FALSE)</f>
        <v>Paris Saint-Germain</v>
      </c>
      <c r="D62" s="61"/>
      <c r="E62" s="62"/>
      <c r="F62" s="9"/>
      <c r="G62" s="48">
        <f>IF(C62=C$72,Pesos!$O$4,0)*IF(COUNTIF(C$51:E$71,C62)=1,2,1)</f>
        <v>0</v>
      </c>
      <c r="H62" s="71" t="str">
        <f>VLOOKUP($B62,Form_Quartas!$C$2:$W$57,11,FALSE)</f>
        <v>Real Madrid</v>
      </c>
      <c r="I62" s="61"/>
      <c r="J62" s="62"/>
      <c r="K62" s="9"/>
      <c r="L62" s="48">
        <f>IF(H62=H$72,Pesos!$O$4,0)*IF(COUNTIF(H$51:J$71,H62)=1,2,1)</f>
        <v>0</v>
      </c>
      <c r="M62" s="71" t="str">
        <f>VLOOKUP($B62,Form_Quartas!$C$2:$W$57,16,FALSE)</f>
        <v>Barcelona</v>
      </c>
      <c r="N62" s="61"/>
      <c r="O62" s="62"/>
      <c r="P62" s="9"/>
      <c r="Q62" s="48">
        <f>IF(M62=M$72,Pesos!$O$4,0)*IF(COUNTIF(M$51:O$71,M62)=1,2,1)</f>
        <v>0</v>
      </c>
      <c r="R62" s="71" t="str">
        <f>VLOOKUP($B62,Form_Quartas!$C$2:$W$57,21,FALSE)</f>
        <v>Arsenal</v>
      </c>
      <c r="S62" s="61"/>
      <c r="T62" s="62"/>
      <c r="U62" s="48"/>
      <c r="V62" s="48">
        <f>IF(R62=R$72,Pesos!$O$4,0)*IF(COUNTIF(R$51:T$71,R62)=1,2,1)</f>
        <v>0</v>
      </c>
      <c r="W62" s="41"/>
      <c r="X62" s="41">
        <f t="shared" si="11"/>
        <v>0</v>
      </c>
    </row>
    <row r="63" ht="14.25" customHeight="1">
      <c r="A63" s="41"/>
      <c r="B63" s="51" t="s">
        <v>12</v>
      </c>
      <c r="C63" s="71" t="str">
        <f>VLOOKUP($B63,Form_Quartas!$C$2:$W$57,6,FALSE)</f>
        <v>#N/A</v>
      </c>
      <c r="D63" s="61"/>
      <c r="E63" s="62"/>
      <c r="F63" s="9"/>
      <c r="G63" s="48" t="str">
        <f>IF(C63=C$72,Pesos!$O$4,0)*IF(COUNTIF(C$51:E$71,C63)=1,2,1)</f>
        <v>#N/A</v>
      </c>
      <c r="H63" s="71" t="str">
        <f>VLOOKUP($B63,Form_Quartas!$C$2:$W$57,11,FALSE)</f>
        <v>#N/A</v>
      </c>
      <c r="I63" s="61"/>
      <c r="J63" s="62"/>
      <c r="K63" s="9"/>
      <c r="L63" s="48" t="str">
        <f>IF(H63=H$72,Pesos!$O$4,0)*IF(COUNTIF(H$51:J$71,H63)=1,2,1)</f>
        <v>#N/A</v>
      </c>
      <c r="M63" s="71" t="str">
        <f>VLOOKUP($B63,Form_Quartas!$C$2:$W$57,16,FALSE)</f>
        <v>#N/A</v>
      </c>
      <c r="N63" s="61"/>
      <c r="O63" s="62"/>
      <c r="P63" s="9"/>
      <c r="Q63" s="48" t="str">
        <f>IF(M63=M$72,Pesos!$O$4,0)*IF(COUNTIF(M$51:O$71,M63)=1,2,1)</f>
        <v>#N/A</v>
      </c>
      <c r="R63" s="71" t="str">
        <f>VLOOKUP($B63,Form_Quartas!$C$2:$W$57,21,FALSE)</f>
        <v>#N/A</v>
      </c>
      <c r="S63" s="61"/>
      <c r="T63" s="62"/>
      <c r="U63" s="48"/>
      <c r="V63" s="48" t="str">
        <f>IF(R63=R$72,Pesos!$O$4,0)*IF(COUNTIF(R$51:T$71,R63)=1,2,1)</f>
        <v>#N/A</v>
      </c>
      <c r="W63" s="41"/>
      <c r="X63" s="41" t="str">
        <f t="shared" si="11"/>
        <v>#N/A</v>
      </c>
    </row>
    <row r="64" ht="14.25" customHeight="1">
      <c r="A64" s="41"/>
      <c r="B64" s="51" t="s">
        <v>8</v>
      </c>
      <c r="C64" s="71" t="str">
        <f>VLOOKUP($B64,Form_Quartas!$C$2:$W$57,6,FALSE)</f>
        <v>Paris Saint-Germain</v>
      </c>
      <c r="D64" s="61"/>
      <c r="E64" s="62"/>
      <c r="F64" s="9"/>
      <c r="G64" s="48">
        <f>IF(C64=C$72,Pesos!$O$4,0)*IF(COUNTIF(C$51:E$71,C64)=1,2,1)</f>
        <v>0</v>
      </c>
      <c r="H64" s="71" t="str">
        <f>VLOOKUP($B64,Form_Quartas!$C$2:$W$57,11,FALSE)</f>
        <v>Bayern de Munique</v>
      </c>
      <c r="I64" s="61"/>
      <c r="J64" s="62"/>
      <c r="K64" s="9"/>
      <c r="L64" s="48">
        <f>IF(H64=H$72,Pesos!$O$4,0)*IF(COUNTIF(H$51:J$71,H64)=1,2,1)</f>
        <v>0</v>
      </c>
      <c r="M64" s="71" t="str">
        <f>VLOOKUP($B64,Form_Quartas!$C$2:$W$57,16,FALSE)</f>
        <v>Barcelona</v>
      </c>
      <c r="N64" s="61"/>
      <c r="O64" s="62"/>
      <c r="P64" s="9"/>
      <c r="Q64" s="48">
        <f>IF(M64=M$72,Pesos!$O$4,0)*IF(COUNTIF(M$51:O$71,M64)=1,2,1)</f>
        <v>0</v>
      </c>
      <c r="R64" s="71" t="str">
        <f>VLOOKUP($B64,Form_Quartas!$C$2:$W$57,21,FALSE)</f>
        <v>Arsenal</v>
      </c>
      <c r="S64" s="61"/>
      <c r="T64" s="62"/>
      <c r="U64" s="48"/>
      <c r="V64" s="48">
        <f>IF(R64=R$72,Pesos!$O$4,0)*IF(COUNTIF(R$51:T$71,R64)=1,2,1)</f>
        <v>0</v>
      </c>
      <c r="W64" s="41"/>
      <c r="X64" s="41">
        <f t="shared" si="11"/>
        <v>0</v>
      </c>
    </row>
    <row r="65" ht="14.25" customHeight="1">
      <c r="A65" s="41"/>
      <c r="B65" s="51" t="s">
        <v>16</v>
      </c>
      <c r="C65" s="71" t="str">
        <f>VLOOKUP($B65,Form_Quartas!$C$2:$W$57,6,FALSE)</f>
        <v>Liverpool</v>
      </c>
      <c r="D65" s="61"/>
      <c r="E65" s="62"/>
      <c r="F65" s="9"/>
      <c r="G65" s="48">
        <f>IF(C65=C$72,Pesos!$O$4,0)*IF(COUNTIF(C$51:E$71,C65)=1,2,1)</f>
        <v>0</v>
      </c>
      <c r="H65" s="71" t="str">
        <f>VLOOKUP($B65,Form_Quartas!$C$2:$W$57,11,FALSE)</f>
        <v>Bayern de Munique</v>
      </c>
      <c r="I65" s="61"/>
      <c r="J65" s="62"/>
      <c r="K65" s="9"/>
      <c r="L65" s="48">
        <f>IF(H65=H$72,Pesos!$O$4,0)*IF(COUNTIF(H$51:J$71,H65)=1,2,1)</f>
        <v>0</v>
      </c>
      <c r="M65" s="71" t="str">
        <f>VLOOKUP($B65,Form_Quartas!$C$2:$W$57,16,FALSE)</f>
        <v>Barcelona</v>
      </c>
      <c r="N65" s="61"/>
      <c r="O65" s="62"/>
      <c r="P65" s="9"/>
      <c r="Q65" s="48">
        <f>IF(M65=M$72,Pesos!$O$4,0)*IF(COUNTIF(M$51:O$71,M65)=1,2,1)</f>
        <v>0</v>
      </c>
      <c r="R65" s="71" t="str">
        <f>VLOOKUP($B65,Form_Quartas!$C$2:$W$57,21,FALSE)</f>
        <v>Arsenal</v>
      </c>
      <c r="S65" s="61"/>
      <c r="T65" s="62"/>
      <c r="U65" s="48"/>
      <c r="V65" s="48">
        <f>IF(R65=R$72,Pesos!$O$4,0)*IF(COUNTIF(R$51:T$71,R65)=1,2,1)</f>
        <v>0</v>
      </c>
      <c r="W65" s="41"/>
      <c r="X65" s="41">
        <f t="shared" si="11"/>
        <v>0</v>
      </c>
    </row>
    <row r="66" ht="14.25" customHeight="1">
      <c r="A66" s="41"/>
      <c r="B66" s="51" t="s">
        <v>11</v>
      </c>
      <c r="C66" s="71" t="str">
        <f>VLOOKUP($B66,Form_Quartas!$C$2:$W$57,6,FALSE)</f>
        <v>#N/A</v>
      </c>
      <c r="D66" s="61"/>
      <c r="E66" s="62"/>
      <c r="F66" s="9"/>
      <c r="G66" s="48" t="str">
        <f>IF(C66=C$72,Pesos!$O$4,0)*IF(COUNTIF(C$51:E$71,C66)=1,2,1)</f>
        <v>#N/A</v>
      </c>
      <c r="H66" s="71" t="str">
        <f>VLOOKUP($B66,Form_Quartas!$C$2:$W$57,11,FALSE)</f>
        <v>#N/A</v>
      </c>
      <c r="I66" s="61"/>
      <c r="J66" s="62"/>
      <c r="K66" s="9"/>
      <c r="L66" s="48" t="str">
        <f>IF(H66=H$72,Pesos!$O$4,0)*IF(COUNTIF(H$51:J$71,H66)=1,2,1)</f>
        <v>#N/A</v>
      </c>
      <c r="M66" s="71" t="str">
        <f>VLOOKUP($B66,Form_Quartas!$C$2:$W$57,16,FALSE)</f>
        <v>#N/A</v>
      </c>
      <c r="N66" s="61"/>
      <c r="O66" s="62"/>
      <c r="P66" s="9"/>
      <c r="Q66" s="48" t="str">
        <f>IF(M66=M$72,Pesos!$O$4,0)*IF(COUNTIF(M$51:O$71,M66)=1,2,1)</f>
        <v>#N/A</v>
      </c>
      <c r="R66" s="71" t="str">
        <f>VLOOKUP($B66,Form_Quartas!$C$2:$W$57,21,FALSE)</f>
        <v>#N/A</v>
      </c>
      <c r="S66" s="61"/>
      <c r="T66" s="62"/>
      <c r="U66" s="48"/>
      <c r="V66" s="48" t="str">
        <f>IF(R66=R$72,Pesos!$O$4,0)*IF(COUNTIF(R$51:T$71,R66)=1,2,1)</f>
        <v>#N/A</v>
      </c>
      <c r="W66" s="41"/>
      <c r="X66" s="41" t="str">
        <f t="shared" si="11"/>
        <v>#N/A</v>
      </c>
    </row>
    <row r="67" ht="14.25" customHeight="1">
      <c r="A67" s="41"/>
      <c r="B67" s="51" t="s">
        <v>7</v>
      </c>
      <c r="C67" s="71" t="str">
        <f>VLOOKUP($B67,Form_Quartas!$C$2:$W$57,6,FALSE)</f>
        <v>#N/A</v>
      </c>
      <c r="D67" s="61"/>
      <c r="E67" s="62"/>
      <c r="F67" s="9"/>
      <c r="G67" s="48" t="str">
        <f>IF(C67=C$72,Pesos!$O$4,0)*IF(COUNTIF(C$51:E$71,C67)=1,2,1)</f>
        <v>#N/A</v>
      </c>
      <c r="H67" s="71" t="str">
        <f>VLOOKUP($B67,Form_Quartas!$C$2:$W$57,11,FALSE)</f>
        <v>#N/A</v>
      </c>
      <c r="I67" s="61"/>
      <c r="J67" s="62"/>
      <c r="K67" s="9"/>
      <c r="L67" s="48" t="str">
        <f>IF(H67=H$72,Pesos!$O$4,0)*IF(COUNTIF(H$51:J$71,H67)=1,2,1)</f>
        <v>#N/A</v>
      </c>
      <c r="M67" s="71" t="str">
        <f>VLOOKUP($B67,Form_Quartas!$C$2:$W$57,16,FALSE)</f>
        <v>#N/A</v>
      </c>
      <c r="N67" s="61"/>
      <c r="O67" s="62"/>
      <c r="P67" s="9"/>
      <c r="Q67" s="48" t="str">
        <f>IF(M67=M$72,Pesos!$O$4,0)*IF(COUNTIF(M$51:O$71,M67)=1,2,1)</f>
        <v>#N/A</v>
      </c>
      <c r="R67" s="71" t="str">
        <f>VLOOKUP($B67,Form_Quartas!$C$2:$W$57,21,FALSE)</f>
        <v>#N/A</v>
      </c>
      <c r="S67" s="61"/>
      <c r="T67" s="62"/>
      <c r="U67" s="48"/>
      <c r="V67" s="48" t="str">
        <f>IF(R67=R$72,Pesos!$O$4,0)*IF(COUNTIF(R$51:T$71,R67)=1,2,1)</f>
        <v>#N/A</v>
      </c>
      <c r="W67" s="41"/>
      <c r="X67" s="41" t="str">
        <f t="shared" si="11"/>
        <v>#N/A</v>
      </c>
    </row>
    <row r="68" ht="14.25" customHeight="1">
      <c r="A68" s="41"/>
      <c r="B68" s="51" t="s">
        <v>19</v>
      </c>
      <c r="C68" s="71" t="str">
        <f>VLOOKUP($B68,Form_Quartas!$C$2:$W$57,6,FALSE)</f>
        <v>#N/A</v>
      </c>
      <c r="D68" s="61"/>
      <c r="E68" s="62"/>
      <c r="F68" s="9"/>
      <c r="G68" s="48" t="str">
        <f>IF(C68=C$72,Pesos!$O$4,0)*IF(COUNTIF(C$51:E$71,C68)=1,2,1)</f>
        <v>#N/A</v>
      </c>
      <c r="H68" s="71" t="str">
        <f>VLOOKUP($B68,Form_Quartas!$C$2:$W$57,11,FALSE)</f>
        <v>#N/A</v>
      </c>
      <c r="I68" s="61"/>
      <c r="J68" s="62"/>
      <c r="K68" s="9"/>
      <c r="L68" s="48" t="str">
        <f>IF(H68=H$72,Pesos!$O$4,0)*IF(COUNTIF(H$51:J$71,H68)=1,2,1)</f>
        <v>#N/A</v>
      </c>
      <c r="M68" s="71" t="str">
        <f>VLOOKUP($B68,Form_Quartas!$C$2:$W$57,16,FALSE)</f>
        <v>#N/A</v>
      </c>
      <c r="N68" s="61"/>
      <c r="O68" s="62"/>
      <c r="P68" s="9"/>
      <c r="Q68" s="48" t="str">
        <f>IF(M68=M$72,Pesos!$O$4,0)*IF(COUNTIF(M$51:O$71,M68)=1,2,1)</f>
        <v>#N/A</v>
      </c>
      <c r="R68" s="71" t="str">
        <f>VLOOKUP($B68,Form_Quartas!$C$2:$W$57,21,FALSE)</f>
        <v>#N/A</v>
      </c>
      <c r="S68" s="61"/>
      <c r="T68" s="62"/>
      <c r="U68" s="48"/>
      <c r="V68" s="48" t="str">
        <f>IF(R68=R$72,Pesos!$O$4,0)*IF(COUNTIF(R$51:T$71,R68)=1,2,1)</f>
        <v>#N/A</v>
      </c>
      <c r="W68" s="41"/>
      <c r="X68" s="41" t="str">
        <f t="shared" si="11"/>
        <v>#N/A</v>
      </c>
    </row>
    <row r="69" ht="14.25" customHeight="1">
      <c r="A69" s="41"/>
      <c r="B69" s="52" t="s">
        <v>20</v>
      </c>
      <c r="C69" s="71" t="str">
        <f>VLOOKUP($B69,Form_Quartas!$C$2:$W$57,6,FALSE)</f>
        <v>#N/A</v>
      </c>
      <c r="D69" s="61"/>
      <c r="E69" s="62"/>
      <c r="F69" s="9"/>
      <c r="G69" s="48" t="str">
        <f>IF(C69=C$72,Pesos!$O$4,0)*IF(COUNTIF(C$51:E$71,C69)=1,2,1)</f>
        <v>#N/A</v>
      </c>
      <c r="H69" s="71" t="str">
        <f>VLOOKUP($B69,Form_Quartas!$C$2:$W$57,11,FALSE)</f>
        <v>#N/A</v>
      </c>
      <c r="I69" s="61"/>
      <c r="J69" s="62"/>
      <c r="K69" s="9"/>
      <c r="L69" s="48" t="str">
        <f>IF(H69=H$72,Pesos!$O$4,0)*IF(COUNTIF(H$51:J$71,H69)=1,2,1)</f>
        <v>#N/A</v>
      </c>
      <c r="M69" s="71" t="str">
        <f>VLOOKUP($B69,Form_Quartas!$C$2:$W$57,16,FALSE)</f>
        <v>#N/A</v>
      </c>
      <c r="N69" s="61"/>
      <c r="O69" s="62"/>
      <c r="P69" s="9"/>
      <c r="Q69" s="48" t="str">
        <f>IF(M69=M$72,Pesos!$O$4,0)*IF(COUNTIF(M$51:O$71,M69)=1,2,1)</f>
        <v>#N/A</v>
      </c>
      <c r="R69" s="71" t="str">
        <f>VLOOKUP($B69,Form_Quartas!$C$2:$W$57,21,FALSE)</f>
        <v>#N/A</v>
      </c>
      <c r="S69" s="61"/>
      <c r="T69" s="62"/>
      <c r="U69" s="48"/>
      <c r="V69" s="48" t="str">
        <f>IF(R69=R$72,Pesos!$O$4,0)*IF(COUNTIF(R$51:T$71,R69)=1,2,1)</f>
        <v>#N/A</v>
      </c>
      <c r="W69" s="41"/>
      <c r="X69" s="41" t="str">
        <f t="shared" si="11"/>
        <v>#N/A</v>
      </c>
    </row>
    <row r="70" ht="14.25" customHeight="1">
      <c r="A70" s="41"/>
      <c r="B70" s="52" t="s">
        <v>21</v>
      </c>
      <c r="C70" s="71" t="str">
        <f>VLOOKUP($B70,Form_Quartas!$C$2:$W$57,6,FALSE)</f>
        <v>#N/A</v>
      </c>
      <c r="D70" s="61"/>
      <c r="E70" s="62"/>
      <c r="F70" s="9"/>
      <c r="G70" s="48" t="str">
        <f>IF(C70=C$72,Pesos!$O$4,0)*IF(COUNTIF(C$51:E$71,C70)=1,2,1)</f>
        <v>#N/A</v>
      </c>
      <c r="H70" s="71" t="str">
        <f>VLOOKUP($B70,Form_Quartas!$C$2:$W$57,11,FALSE)</f>
        <v>#N/A</v>
      </c>
      <c r="I70" s="61"/>
      <c r="J70" s="62"/>
      <c r="K70" s="9"/>
      <c r="L70" s="48" t="str">
        <f>IF(H70=H$72,Pesos!$O$4,0)*IF(COUNTIF(H$51:J$71,H70)=1,2,1)</f>
        <v>#N/A</v>
      </c>
      <c r="M70" s="71" t="str">
        <f>VLOOKUP($B70,Form_Quartas!$C$2:$W$57,16,FALSE)</f>
        <v>#N/A</v>
      </c>
      <c r="N70" s="61"/>
      <c r="O70" s="62"/>
      <c r="P70" s="9"/>
      <c r="Q70" s="48" t="str">
        <f>IF(M70=M$72,Pesos!$O$4,0)*IF(COUNTIF(M$51:O$71,M70)=1,2,1)</f>
        <v>#N/A</v>
      </c>
      <c r="R70" s="71" t="str">
        <f>VLOOKUP($B70,Form_Quartas!$C$2:$W$57,21,FALSE)</f>
        <v>#N/A</v>
      </c>
      <c r="S70" s="61"/>
      <c r="T70" s="62"/>
      <c r="U70" s="48"/>
      <c r="V70" s="48" t="str">
        <f>IF(R70=R$72,Pesos!$O$4,0)*IF(COUNTIF(R$51:T$71,R70)=1,2,1)</f>
        <v>#N/A</v>
      </c>
      <c r="W70" s="41"/>
      <c r="X70" s="41" t="str">
        <f t="shared" si="11"/>
        <v>#N/A</v>
      </c>
    </row>
    <row r="71" ht="14.25" customHeight="1">
      <c r="A71" s="41"/>
      <c r="B71" s="52" t="s">
        <v>22</v>
      </c>
      <c r="C71" s="71" t="str">
        <f>VLOOKUP($B71,Form_Quartas!$C$2:$W$57,6,FALSE)</f>
        <v>#N/A</v>
      </c>
      <c r="D71" s="61"/>
      <c r="E71" s="62"/>
      <c r="F71" s="9"/>
      <c r="G71" s="48" t="str">
        <f>IF(C71=C$72,Pesos!$O$4,0)*IF(COUNTIF(C$51:E$71,C71)=1,2,1)</f>
        <v>#N/A</v>
      </c>
      <c r="H71" s="71" t="str">
        <f>VLOOKUP($B71,Form_Quartas!$C$2:$W$57,11,FALSE)</f>
        <v>#N/A</v>
      </c>
      <c r="I71" s="61"/>
      <c r="J71" s="62"/>
      <c r="K71" s="9"/>
      <c r="L71" s="48" t="str">
        <f>IF(H71=H$72,Pesos!$O$4,0)*IF(COUNTIF(H$51:J$71,H71)=1,2,1)</f>
        <v>#N/A</v>
      </c>
      <c r="M71" s="71" t="str">
        <f>VLOOKUP($B71,Form_Quartas!$C$2:$W$57,16,FALSE)</f>
        <v>#N/A</v>
      </c>
      <c r="N71" s="61"/>
      <c r="O71" s="62"/>
      <c r="P71" s="9"/>
      <c r="Q71" s="48" t="str">
        <f>IF(M71=M$72,Pesos!$O$4,0)*IF(COUNTIF(M$51:O$71,M71)=1,2,1)</f>
        <v>#N/A</v>
      </c>
      <c r="R71" s="71" t="str">
        <f>VLOOKUP($B71,Form_Quartas!$C$2:$W$57,21,FALSE)</f>
        <v>#N/A</v>
      </c>
      <c r="S71" s="61"/>
      <c r="T71" s="62"/>
      <c r="U71" s="48"/>
      <c r="V71" s="48" t="str">
        <f>IF(R71=R$72,Pesos!$O$4,0)*IF(COUNTIF(R$51:T$71,R71)=1,2,1)</f>
        <v>#N/A</v>
      </c>
      <c r="W71" s="41"/>
      <c r="X71" s="41" t="str">
        <f t="shared" si="11"/>
        <v>#N/A</v>
      </c>
    </row>
    <row r="72" ht="14.25" customHeight="1">
      <c r="A72" s="56"/>
      <c r="B72" s="53" t="s">
        <v>1</v>
      </c>
      <c r="C72" s="66"/>
      <c r="D72" s="61"/>
      <c r="E72" s="62"/>
      <c r="F72" s="72"/>
      <c r="G72" s="59"/>
      <c r="H72" s="66"/>
      <c r="I72" s="61"/>
      <c r="J72" s="62"/>
      <c r="K72" s="55"/>
      <c r="L72" s="59"/>
      <c r="M72" s="73"/>
      <c r="N72" s="61"/>
      <c r="O72" s="62"/>
      <c r="P72" s="55"/>
      <c r="Q72" s="59"/>
      <c r="R72" s="66"/>
      <c r="S72" s="61"/>
      <c r="T72" s="62"/>
      <c r="U72" s="48"/>
      <c r="V72" s="48"/>
      <c r="W72" s="56"/>
      <c r="X72" s="56"/>
    </row>
    <row r="73" ht="14.25" customHeight="1">
      <c r="A73" s="41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1"/>
      <c r="X73" s="41"/>
    </row>
    <row r="74" ht="14.25" customHeight="1">
      <c r="A74" s="41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1"/>
      <c r="X74" s="41"/>
    </row>
    <row r="75" ht="14.25" customHeight="1">
      <c r="A75" s="41"/>
      <c r="B75" s="45" t="s">
        <v>9</v>
      </c>
      <c r="C75" s="40"/>
      <c r="D75" s="40"/>
      <c r="E75" s="40"/>
      <c r="F75" s="40"/>
      <c r="G75" s="40" t="str">
        <f t="shared" ref="G75:G95" si="12">(G51+G27+G3)*2</f>
        <v>#N/A</v>
      </c>
      <c r="H75" s="40"/>
      <c r="I75" s="40"/>
      <c r="J75" s="40"/>
      <c r="K75" s="40"/>
      <c r="L75" s="40" t="str">
        <f t="shared" ref="L75:L95" si="13">(L51+L27+L3)*2</f>
        <v>#N/A</v>
      </c>
      <c r="M75" s="40"/>
      <c r="N75" s="40"/>
      <c r="O75" s="40"/>
      <c r="P75" s="40"/>
      <c r="Q75" s="40" t="str">
        <f t="shared" ref="Q75:Q95" si="14">Q51+Q27+Q3</f>
        <v>#N/A</v>
      </c>
      <c r="R75" s="40"/>
      <c r="S75" s="40"/>
      <c r="T75" s="40"/>
      <c r="U75" s="40"/>
      <c r="V75" s="40" t="str">
        <f t="shared" ref="V75:V95" si="15">V51+V27+V3</f>
        <v>#N/A</v>
      </c>
      <c r="W75" s="41"/>
      <c r="X75" s="41"/>
    </row>
    <row r="76" ht="14.25" customHeight="1">
      <c r="A76" s="41"/>
      <c r="B76" s="51" t="s">
        <v>10</v>
      </c>
      <c r="C76" s="40"/>
      <c r="D76" s="40"/>
      <c r="E76" s="40"/>
      <c r="F76" s="40"/>
      <c r="G76" s="40" t="str">
        <f t="shared" si="12"/>
        <v>#N/A</v>
      </c>
      <c r="H76" s="40"/>
      <c r="I76" s="40"/>
      <c r="J76" s="40"/>
      <c r="K76" s="40"/>
      <c r="L76" s="40" t="str">
        <f t="shared" si="13"/>
        <v>#N/A</v>
      </c>
      <c r="M76" s="40"/>
      <c r="N76" s="40"/>
      <c r="O76" s="40"/>
      <c r="P76" s="40"/>
      <c r="Q76" s="40" t="str">
        <f t="shared" si="14"/>
        <v>#N/A</v>
      </c>
      <c r="R76" s="40"/>
      <c r="S76" s="40"/>
      <c r="T76" s="40"/>
      <c r="U76" s="40"/>
      <c r="V76" s="40" t="str">
        <f t="shared" si="15"/>
        <v>#N/A</v>
      </c>
      <c r="W76" s="41"/>
      <c r="X76" s="41"/>
    </row>
    <row r="77" ht="14.25" customHeight="1">
      <c r="A77" s="41"/>
      <c r="B77" s="51" t="s">
        <v>17</v>
      </c>
      <c r="C77" s="40"/>
      <c r="D77" s="40"/>
      <c r="E77" s="40"/>
      <c r="F77" s="40"/>
      <c r="G77" s="40">
        <f t="shared" si="12"/>
        <v>0</v>
      </c>
      <c r="H77" s="40"/>
      <c r="I77" s="40"/>
      <c r="J77" s="40"/>
      <c r="K77" s="40"/>
      <c r="L77" s="40">
        <f t="shared" si="13"/>
        <v>0</v>
      </c>
      <c r="M77" s="40"/>
      <c r="N77" s="40"/>
      <c r="O77" s="40"/>
      <c r="P77" s="40"/>
      <c r="Q77" s="40">
        <f t="shared" si="14"/>
        <v>0</v>
      </c>
      <c r="R77" s="40"/>
      <c r="S77" s="40"/>
      <c r="T77" s="40"/>
      <c r="U77" s="40"/>
      <c r="V77" s="40">
        <f t="shared" si="15"/>
        <v>0</v>
      </c>
      <c r="W77" s="41"/>
      <c r="X77" s="41"/>
    </row>
    <row r="78" ht="14.25" customHeight="1">
      <c r="A78" s="41"/>
      <c r="B78" s="51" t="s">
        <v>3</v>
      </c>
      <c r="C78" s="40"/>
      <c r="D78" s="40"/>
      <c r="E78" s="40"/>
      <c r="F78" s="40"/>
      <c r="G78" s="40" t="str">
        <f t="shared" si="12"/>
        <v>#N/A</v>
      </c>
      <c r="H78" s="40"/>
      <c r="I78" s="40"/>
      <c r="J78" s="40"/>
      <c r="K78" s="40"/>
      <c r="L78" s="40" t="str">
        <f t="shared" si="13"/>
        <v>#N/A</v>
      </c>
      <c r="M78" s="40"/>
      <c r="N78" s="40"/>
      <c r="O78" s="40"/>
      <c r="P78" s="40"/>
      <c r="Q78" s="40" t="str">
        <f t="shared" si="14"/>
        <v>#N/A</v>
      </c>
      <c r="R78" s="40"/>
      <c r="S78" s="40"/>
      <c r="T78" s="40"/>
      <c r="U78" s="40"/>
      <c r="V78" s="40" t="str">
        <f t="shared" si="15"/>
        <v>#N/A</v>
      </c>
      <c r="W78" s="41"/>
      <c r="X78" s="41"/>
    </row>
    <row r="79" ht="14.25" customHeight="1">
      <c r="A79" s="41"/>
      <c r="B79" s="51" t="s">
        <v>13</v>
      </c>
      <c r="C79" s="40"/>
      <c r="D79" s="40"/>
      <c r="E79" s="40"/>
      <c r="F79" s="40"/>
      <c r="G79" s="40" t="str">
        <f t="shared" si="12"/>
        <v>#N/A</v>
      </c>
      <c r="H79" s="40"/>
      <c r="I79" s="40"/>
      <c r="J79" s="40"/>
      <c r="K79" s="40"/>
      <c r="L79" s="40" t="str">
        <f t="shared" si="13"/>
        <v>#N/A</v>
      </c>
      <c r="M79" s="40"/>
      <c r="N79" s="40"/>
      <c r="O79" s="40"/>
      <c r="P79" s="40"/>
      <c r="Q79" s="40" t="str">
        <f t="shared" si="14"/>
        <v>#N/A</v>
      </c>
      <c r="R79" s="40"/>
      <c r="S79" s="40"/>
      <c r="T79" s="40"/>
      <c r="U79" s="40"/>
      <c r="V79" s="40" t="str">
        <f t="shared" si="15"/>
        <v>#N/A</v>
      </c>
      <c r="W79" s="41"/>
      <c r="X79" s="41"/>
    </row>
    <row r="80" ht="14.25" customHeight="1">
      <c r="A80" s="41"/>
      <c r="B80" s="51" t="s">
        <v>14</v>
      </c>
      <c r="C80" s="40"/>
      <c r="D80" s="40"/>
      <c r="E80" s="40"/>
      <c r="F80" s="40"/>
      <c r="G80" s="40" t="str">
        <f t="shared" si="12"/>
        <v>#N/A</v>
      </c>
      <c r="H80" s="40"/>
      <c r="I80" s="40"/>
      <c r="J80" s="40"/>
      <c r="K80" s="40"/>
      <c r="L80" s="40" t="str">
        <f t="shared" si="13"/>
        <v>#N/A</v>
      </c>
      <c r="M80" s="40"/>
      <c r="N80" s="40"/>
      <c r="O80" s="40"/>
      <c r="P80" s="40"/>
      <c r="Q80" s="40" t="str">
        <f t="shared" si="14"/>
        <v>#N/A</v>
      </c>
      <c r="R80" s="40"/>
      <c r="S80" s="40"/>
      <c r="T80" s="40"/>
      <c r="U80" s="40"/>
      <c r="V80" s="40" t="str">
        <f t="shared" si="15"/>
        <v>#N/A</v>
      </c>
      <c r="W80" s="41"/>
      <c r="X80" s="41"/>
    </row>
    <row r="81" ht="14.25" customHeight="1">
      <c r="A81" s="41"/>
      <c r="B81" s="51" t="s">
        <v>6</v>
      </c>
      <c r="C81" s="40"/>
      <c r="D81" s="40"/>
      <c r="E81" s="40"/>
      <c r="F81" s="40"/>
      <c r="G81" s="40" t="str">
        <f t="shared" si="12"/>
        <v>#N/A</v>
      </c>
      <c r="H81" s="40"/>
      <c r="I81" s="40"/>
      <c r="J81" s="40"/>
      <c r="K81" s="40"/>
      <c r="L81" s="40" t="str">
        <f t="shared" si="13"/>
        <v>#N/A</v>
      </c>
      <c r="M81" s="40"/>
      <c r="N81" s="40"/>
      <c r="O81" s="40"/>
      <c r="P81" s="40"/>
      <c r="Q81" s="40" t="str">
        <f t="shared" si="14"/>
        <v>#N/A</v>
      </c>
      <c r="R81" s="40"/>
      <c r="S81" s="40"/>
      <c r="T81" s="40"/>
      <c r="U81" s="40"/>
      <c r="V81" s="40" t="str">
        <f t="shared" si="15"/>
        <v>#N/A</v>
      </c>
      <c r="W81" s="41"/>
      <c r="X81" s="41"/>
    </row>
    <row r="82" ht="14.25" customHeight="1">
      <c r="A82" s="41"/>
      <c r="B82" s="51" t="s">
        <v>5</v>
      </c>
      <c r="C82" s="40"/>
      <c r="D82" s="40"/>
      <c r="E82" s="40"/>
      <c r="F82" s="40"/>
      <c r="G82" s="40" t="str">
        <f t="shared" si="12"/>
        <v>#N/A</v>
      </c>
      <c r="H82" s="40"/>
      <c r="I82" s="40"/>
      <c r="J82" s="40"/>
      <c r="K82" s="40"/>
      <c r="L82" s="40" t="str">
        <f t="shared" si="13"/>
        <v>#N/A</v>
      </c>
      <c r="M82" s="40"/>
      <c r="N82" s="40"/>
      <c r="O82" s="40"/>
      <c r="P82" s="40"/>
      <c r="Q82" s="40" t="str">
        <f t="shared" si="14"/>
        <v>#N/A</v>
      </c>
      <c r="R82" s="40"/>
      <c r="S82" s="40"/>
      <c r="T82" s="40"/>
      <c r="U82" s="40"/>
      <c r="V82" s="40" t="str">
        <f t="shared" si="15"/>
        <v>#N/A</v>
      </c>
      <c r="W82" s="41"/>
      <c r="X82" s="41"/>
    </row>
    <row r="83" ht="14.25" customHeight="1">
      <c r="A83" s="41"/>
      <c r="B83" s="51" t="s">
        <v>4</v>
      </c>
      <c r="C83" s="40"/>
      <c r="D83" s="40"/>
      <c r="E83" s="40"/>
      <c r="F83" s="40"/>
      <c r="G83" s="40" t="str">
        <f t="shared" si="12"/>
        <v>#N/A</v>
      </c>
      <c r="H83" s="40"/>
      <c r="I83" s="40"/>
      <c r="J83" s="40"/>
      <c r="K83" s="40"/>
      <c r="L83" s="40" t="str">
        <f t="shared" si="13"/>
        <v>#N/A</v>
      </c>
      <c r="M83" s="40"/>
      <c r="N83" s="40"/>
      <c r="O83" s="40"/>
      <c r="P83" s="40"/>
      <c r="Q83" s="40" t="str">
        <f t="shared" si="14"/>
        <v>#N/A</v>
      </c>
      <c r="R83" s="40"/>
      <c r="S83" s="40"/>
      <c r="T83" s="40"/>
      <c r="U83" s="40"/>
      <c r="V83" s="40" t="str">
        <f t="shared" si="15"/>
        <v>#N/A</v>
      </c>
      <c r="W83" s="41"/>
      <c r="X83" s="41"/>
    </row>
    <row r="84" ht="14.25" customHeight="1">
      <c r="A84" s="41"/>
      <c r="B84" s="51" t="s">
        <v>18</v>
      </c>
      <c r="C84" s="40"/>
      <c r="D84" s="40"/>
      <c r="E84" s="40"/>
      <c r="F84" s="40"/>
      <c r="G84" s="40" t="str">
        <f t="shared" si="12"/>
        <v>#N/A</v>
      </c>
      <c r="H84" s="40"/>
      <c r="I84" s="40"/>
      <c r="J84" s="40"/>
      <c r="K84" s="40"/>
      <c r="L84" s="40" t="str">
        <f t="shared" si="13"/>
        <v>#N/A</v>
      </c>
      <c r="M84" s="40"/>
      <c r="N84" s="40"/>
      <c r="O84" s="40"/>
      <c r="P84" s="40"/>
      <c r="Q84" s="40" t="str">
        <f t="shared" si="14"/>
        <v>#N/A</v>
      </c>
      <c r="R84" s="40"/>
      <c r="S84" s="40"/>
      <c r="T84" s="40"/>
      <c r="U84" s="40"/>
      <c r="V84" s="40" t="str">
        <f t="shared" si="15"/>
        <v>#N/A</v>
      </c>
      <c r="W84" s="41"/>
      <c r="X84" s="41"/>
    </row>
    <row r="85" ht="14.25" customHeight="1">
      <c r="A85" s="41"/>
      <c r="B85" s="51" t="s">
        <v>2</v>
      </c>
      <c r="C85" s="40"/>
      <c r="D85" s="40"/>
      <c r="E85" s="40"/>
      <c r="F85" s="40"/>
      <c r="G85" s="40" t="str">
        <f t="shared" si="12"/>
        <v>#N/A</v>
      </c>
      <c r="H85" s="40"/>
      <c r="I85" s="40"/>
      <c r="J85" s="40"/>
      <c r="K85" s="40"/>
      <c r="L85" s="40" t="str">
        <f t="shared" si="13"/>
        <v>#N/A</v>
      </c>
      <c r="M85" s="40"/>
      <c r="N85" s="40"/>
      <c r="O85" s="40"/>
      <c r="P85" s="40"/>
      <c r="Q85" s="40" t="str">
        <f t="shared" si="14"/>
        <v>#N/A</v>
      </c>
      <c r="R85" s="40"/>
      <c r="S85" s="40"/>
      <c r="T85" s="40"/>
      <c r="U85" s="40"/>
      <c r="V85" s="40" t="str">
        <f t="shared" si="15"/>
        <v>#N/A</v>
      </c>
      <c r="W85" s="41"/>
      <c r="X85" s="41"/>
    </row>
    <row r="86" ht="14.25" customHeight="1">
      <c r="A86" s="41"/>
      <c r="B86" s="51" t="s">
        <v>15</v>
      </c>
      <c r="C86" s="40"/>
      <c r="D86" s="40"/>
      <c r="E86" s="40"/>
      <c r="F86" s="40"/>
      <c r="G86" s="40">
        <f t="shared" si="12"/>
        <v>0</v>
      </c>
      <c r="H86" s="40"/>
      <c r="I86" s="40"/>
      <c r="J86" s="40"/>
      <c r="K86" s="40"/>
      <c r="L86" s="40">
        <f t="shared" si="13"/>
        <v>0</v>
      </c>
      <c r="M86" s="40"/>
      <c r="N86" s="40"/>
      <c r="O86" s="40"/>
      <c r="P86" s="40"/>
      <c r="Q86" s="40">
        <f t="shared" si="14"/>
        <v>0</v>
      </c>
      <c r="R86" s="40"/>
      <c r="S86" s="40"/>
      <c r="T86" s="40"/>
      <c r="U86" s="40"/>
      <c r="V86" s="40">
        <f t="shared" si="15"/>
        <v>0</v>
      </c>
      <c r="W86" s="41"/>
      <c r="X86" s="41"/>
    </row>
    <row r="87" ht="14.25" customHeight="1">
      <c r="A87" s="41"/>
      <c r="B87" s="51" t="s">
        <v>12</v>
      </c>
      <c r="C87" s="40"/>
      <c r="D87" s="40"/>
      <c r="E87" s="40"/>
      <c r="F87" s="40"/>
      <c r="G87" s="40" t="str">
        <f t="shared" si="12"/>
        <v>#N/A</v>
      </c>
      <c r="H87" s="40"/>
      <c r="I87" s="40"/>
      <c r="J87" s="40"/>
      <c r="K87" s="40"/>
      <c r="L87" s="40" t="str">
        <f t="shared" si="13"/>
        <v>#N/A</v>
      </c>
      <c r="M87" s="40"/>
      <c r="N87" s="40"/>
      <c r="O87" s="40"/>
      <c r="P87" s="40"/>
      <c r="Q87" s="40" t="str">
        <f t="shared" si="14"/>
        <v>#N/A</v>
      </c>
      <c r="R87" s="40"/>
      <c r="S87" s="40"/>
      <c r="T87" s="40"/>
      <c r="U87" s="40"/>
      <c r="V87" s="40" t="str">
        <f t="shared" si="15"/>
        <v>#N/A</v>
      </c>
      <c r="W87" s="41"/>
      <c r="X87" s="41"/>
    </row>
    <row r="88" ht="14.25" customHeight="1">
      <c r="A88" s="41"/>
      <c r="B88" s="51" t="s">
        <v>8</v>
      </c>
      <c r="C88" s="40"/>
      <c r="D88" s="40"/>
      <c r="E88" s="40"/>
      <c r="F88" s="40"/>
      <c r="G88" s="40">
        <f t="shared" si="12"/>
        <v>0</v>
      </c>
      <c r="H88" s="40"/>
      <c r="I88" s="40"/>
      <c r="J88" s="40"/>
      <c r="K88" s="40"/>
      <c r="L88" s="40">
        <f t="shared" si="13"/>
        <v>0</v>
      </c>
      <c r="M88" s="40"/>
      <c r="N88" s="40"/>
      <c r="O88" s="40"/>
      <c r="P88" s="40"/>
      <c r="Q88" s="40">
        <f t="shared" si="14"/>
        <v>0</v>
      </c>
      <c r="R88" s="40"/>
      <c r="S88" s="40"/>
      <c r="T88" s="40"/>
      <c r="U88" s="40"/>
      <c r="V88" s="40">
        <f t="shared" si="15"/>
        <v>0</v>
      </c>
      <c r="W88" s="41"/>
      <c r="X88" s="41"/>
    </row>
    <row r="89" ht="14.25" customHeight="1">
      <c r="A89" s="41"/>
      <c r="B89" s="51" t="s">
        <v>16</v>
      </c>
      <c r="C89" s="40"/>
      <c r="D89" s="40"/>
      <c r="E89" s="40"/>
      <c r="F89" s="40"/>
      <c r="G89" s="40">
        <f t="shared" si="12"/>
        <v>0</v>
      </c>
      <c r="H89" s="40"/>
      <c r="I89" s="40"/>
      <c r="J89" s="40"/>
      <c r="K89" s="40"/>
      <c r="L89" s="40">
        <f t="shared" si="13"/>
        <v>0</v>
      </c>
      <c r="M89" s="40"/>
      <c r="N89" s="40"/>
      <c r="O89" s="40"/>
      <c r="P89" s="40"/>
      <c r="Q89" s="40">
        <f t="shared" si="14"/>
        <v>0</v>
      </c>
      <c r="R89" s="40"/>
      <c r="S89" s="40"/>
      <c r="T89" s="40"/>
      <c r="U89" s="40"/>
      <c r="V89" s="40">
        <f t="shared" si="15"/>
        <v>0</v>
      </c>
      <c r="W89" s="41"/>
      <c r="X89" s="41"/>
    </row>
    <row r="90" ht="14.25" customHeight="1">
      <c r="A90" s="41"/>
      <c r="B90" s="51" t="s">
        <v>11</v>
      </c>
      <c r="C90" s="40"/>
      <c r="D90" s="40"/>
      <c r="E90" s="40"/>
      <c r="F90" s="40"/>
      <c r="G90" s="40" t="str">
        <f t="shared" si="12"/>
        <v>#N/A</v>
      </c>
      <c r="H90" s="40"/>
      <c r="I90" s="40"/>
      <c r="J90" s="40"/>
      <c r="K90" s="40"/>
      <c r="L90" s="40" t="str">
        <f t="shared" si="13"/>
        <v>#N/A</v>
      </c>
      <c r="M90" s="40"/>
      <c r="N90" s="40"/>
      <c r="O90" s="40"/>
      <c r="P90" s="40"/>
      <c r="Q90" s="40" t="str">
        <f t="shared" si="14"/>
        <v>#N/A</v>
      </c>
      <c r="R90" s="40"/>
      <c r="S90" s="40"/>
      <c r="T90" s="40"/>
      <c r="U90" s="40"/>
      <c r="V90" s="40" t="str">
        <f t="shared" si="15"/>
        <v>#N/A</v>
      </c>
      <c r="W90" s="41"/>
      <c r="X90" s="41"/>
    </row>
    <row r="91" ht="14.25" customHeight="1">
      <c r="A91" s="41"/>
      <c r="B91" s="51" t="s">
        <v>7</v>
      </c>
      <c r="C91" s="40"/>
      <c r="D91" s="40"/>
      <c r="E91" s="40"/>
      <c r="F91" s="40"/>
      <c r="G91" s="40" t="str">
        <f t="shared" si="12"/>
        <v>#N/A</v>
      </c>
      <c r="H91" s="40"/>
      <c r="I91" s="40"/>
      <c r="J91" s="40"/>
      <c r="K91" s="40"/>
      <c r="L91" s="40" t="str">
        <f t="shared" si="13"/>
        <v>#N/A</v>
      </c>
      <c r="M91" s="40"/>
      <c r="N91" s="40"/>
      <c r="O91" s="40"/>
      <c r="P91" s="40"/>
      <c r="Q91" s="40" t="str">
        <f t="shared" si="14"/>
        <v>#N/A</v>
      </c>
      <c r="R91" s="40"/>
      <c r="S91" s="40"/>
      <c r="T91" s="40"/>
      <c r="U91" s="40"/>
      <c r="V91" s="40" t="str">
        <f t="shared" si="15"/>
        <v>#N/A</v>
      </c>
      <c r="W91" s="41"/>
      <c r="X91" s="41"/>
    </row>
    <row r="92" ht="14.25" customHeight="1">
      <c r="A92" s="41"/>
      <c r="B92" s="51" t="s">
        <v>19</v>
      </c>
      <c r="C92" s="40"/>
      <c r="D92" s="40"/>
      <c r="E92" s="40"/>
      <c r="F92" s="40"/>
      <c r="G92" s="40" t="str">
        <f t="shared" si="12"/>
        <v>#N/A</v>
      </c>
      <c r="H92" s="40"/>
      <c r="I92" s="40"/>
      <c r="J92" s="40"/>
      <c r="K92" s="40"/>
      <c r="L92" s="40" t="str">
        <f t="shared" si="13"/>
        <v>#N/A</v>
      </c>
      <c r="M92" s="40"/>
      <c r="N92" s="40"/>
      <c r="O92" s="40"/>
      <c r="P92" s="40"/>
      <c r="Q92" s="40" t="str">
        <f t="shared" si="14"/>
        <v>#N/A</v>
      </c>
      <c r="R92" s="40"/>
      <c r="S92" s="40"/>
      <c r="T92" s="40"/>
      <c r="U92" s="40"/>
      <c r="V92" s="40" t="str">
        <f t="shared" si="15"/>
        <v>#N/A</v>
      </c>
      <c r="W92" s="41"/>
      <c r="X92" s="41"/>
    </row>
    <row r="93" ht="14.25" customHeight="1">
      <c r="A93" s="41"/>
      <c r="B93" s="52" t="s">
        <v>20</v>
      </c>
      <c r="C93" s="40"/>
      <c r="D93" s="40"/>
      <c r="E93" s="40"/>
      <c r="F93" s="40"/>
      <c r="G93" s="40" t="str">
        <f t="shared" si="12"/>
        <v>#N/A</v>
      </c>
      <c r="H93" s="40"/>
      <c r="I93" s="40"/>
      <c r="J93" s="40"/>
      <c r="K93" s="40"/>
      <c r="L93" s="40" t="str">
        <f t="shared" si="13"/>
        <v>#N/A</v>
      </c>
      <c r="M93" s="40"/>
      <c r="N93" s="40"/>
      <c r="O93" s="40"/>
      <c r="P93" s="40"/>
      <c r="Q93" s="40" t="str">
        <f t="shared" si="14"/>
        <v>#N/A</v>
      </c>
      <c r="R93" s="40"/>
      <c r="S93" s="40"/>
      <c r="T93" s="40"/>
      <c r="U93" s="40"/>
      <c r="V93" s="40" t="str">
        <f t="shared" si="15"/>
        <v>#N/A</v>
      </c>
      <c r="W93" s="41"/>
      <c r="X93" s="41"/>
    </row>
    <row r="94" ht="14.25" customHeight="1">
      <c r="A94" s="41"/>
      <c r="B94" s="52" t="s">
        <v>21</v>
      </c>
      <c r="C94" s="40"/>
      <c r="D94" s="40"/>
      <c r="E94" s="40"/>
      <c r="F94" s="40"/>
      <c r="G94" s="40" t="str">
        <f t="shared" si="12"/>
        <v>#N/A</v>
      </c>
      <c r="H94" s="40"/>
      <c r="I94" s="40"/>
      <c r="J94" s="40"/>
      <c r="K94" s="40"/>
      <c r="L94" s="40" t="str">
        <f t="shared" si="13"/>
        <v>#N/A</v>
      </c>
      <c r="M94" s="40"/>
      <c r="N94" s="40"/>
      <c r="O94" s="40"/>
      <c r="P94" s="40"/>
      <c r="Q94" s="40" t="str">
        <f t="shared" si="14"/>
        <v>#N/A</v>
      </c>
      <c r="R94" s="40"/>
      <c r="S94" s="40"/>
      <c r="T94" s="40"/>
      <c r="U94" s="40"/>
      <c r="V94" s="40" t="str">
        <f t="shared" si="15"/>
        <v>#N/A</v>
      </c>
      <c r="W94" s="41"/>
      <c r="X94" s="41"/>
    </row>
    <row r="95" ht="14.25" customHeight="1">
      <c r="A95" s="41"/>
      <c r="B95" s="52" t="s">
        <v>22</v>
      </c>
      <c r="C95" s="40"/>
      <c r="D95" s="40"/>
      <c r="E95" s="40"/>
      <c r="F95" s="40"/>
      <c r="G95" s="40" t="str">
        <f t="shared" si="12"/>
        <v>#N/A</v>
      </c>
      <c r="H95" s="40"/>
      <c r="I95" s="40"/>
      <c r="J95" s="40"/>
      <c r="K95" s="40"/>
      <c r="L95" s="40" t="str">
        <f t="shared" si="13"/>
        <v>#N/A</v>
      </c>
      <c r="M95" s="40"/>
      <c r="N95" s="40"/>
      <c r="O95" s="40"/>
      <c r="P95" s="40"/>
      <c r="Q95" s="40" t="str">
        <f t="shared" si="14"/>
        <v>#N/A</v>
      </c>
      <c r="R95" s="40"/>
      <c r="S95" s="40"/>
      <c r="T95" s="40"/>
      <c r="U95" s="40"/>
      <c r="V95" s="40" t="str">
        <f t="shared" si="15"/>
        <v>#N/A</v>
      </c>
      <c r="W95" s="41"/>
      <c r="X95" s="41"/>
    </row>
    <row r="96" ht="14.25" customHeight="1">
      <c r="A96" s="41"/>
      <c r="B96" s="2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1"/>
      <c r="X96" s="41"/>
    </row>
    <row r="97" ht="14.25" customHeight="1">
      <c r="A97" s="41"/>
      <c r="B97" s="40"/>
      <c r="C97" s="40"/>
      <c r="D97" s="40" t="s">
        <v>108</v>
      </c>
      <c r="E97" s="40"/>
      <c r="F97" s="40" t="s">
        <v>109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1"/>
      <c r="X97" s="41"/>
    </row>
    <row r="98" ht="14.25" customHeight="1">
      <c r="A98" s="41"/>
      <c r="B98" s="45" t="s">
        <v>9</v>
      </c>
      <c r="C98" s="57" t="str">
        <f>VLOOKUP($B$98,Form_PrimeiraFase!$C$2:$FB$69,156,FALSE)</f>
        <v>Paris Saint-Germain</v>
      </c>
      <c r="D98" s="40">
        <f t="shared" ref="D98:D118" si="16">COUNTIF($C$72:$V$72,C98)</f>
        <v>0</v>
      </c>
      <c r="E98" s="40"/>
      <c r="F98" s="40" t="str">
        <f>G75+L75+Q75+V75+IF(SUM($D$98:$D$118)=1,2*D98*Pesos!$N$23,D98*Pesos!$N$23)</f>
        <v>#N/A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1"/>
      <c r="X98" s="41"/>
    </row>
    <row r="99" ht="14.25" customHeight="1">
      <c r="A99" s="41"/>
      <c r="B99" s="51" t="s">
        <v>10</v>
      </c>
      <c r="C99" s="57" t="str">
        <f>VLOOKUP($B$99,Form_PrimeiraFase!$C$2:$FB$69,156,FALSE)</f>
        <v>Liverpool</v>
      </c>
      <c r="D99" s="40">
        <f t="shared" si="16"/>
        <v>0</v>
      </c>
      <c r="E99" s="40"/>
      <c r="F99" s="40" t="str">
        <f>G76+L76+Q76+V76+IF(SUM($D$98:$D$118)=1,2*D99*Pesos!$N$23,D99*Pesos!$N$23)</f>
        <v>#N/A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1"/>
      <c r="X99" s="41"/>
    </row>
    <row r="100" ht="14.25" customHeight="1">
      <c r="A100" s="41"/>
      <c r="B100" s="51" t="s">
        <v>17</v>
      </c>
      <c r="C100" s="57" t="str">
        <f>VLOOKUP($B$100,Form_PrimeiraFase!$C$2:$FB$69,156,FALSE)</f>
        <v>Real Madrid</v>
      </c>
      <c r="D100" s="40">
        <f t="shared" si="16"/>
        <v>0</v>
      </c>
      <c r="E100" s="40"/>
      <c r="F100" s="40">
        <f>G77+L77+Q77+V77+IF(SUM($D$98:$D$118)=1,2*D100*Pesos!$N$23,D100*Pesos!$N$23)</f>
        <v>0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1"/>
      <c r="X100" s="41"/>
    </row>
    <row r="101" ht="14.25" customHeight="1">
      <c r="A101" s="41"/>
      <c r="B101" s="51" t="s">
        <v>3</v>
      </c>
      <c r="C101" s="57" t="str">
        <f>VLOOKUP($B$101,Form_PrimeiraFase!$C$2:$FB$69,156,FALSE)</f>
        <v>Barcelona</v>
      </c>
      <c r="D101" s="40">
        <f t="shared" si="16"/>
        <v>0</v>
      </c>
      <c r="E101" s="40"/>
      <c r="F101" s="40" t="str">
        <f>G78+L78+Q78+V78+IF(SUM($D$98:$D$118)=1,2*D101*Pesos!$N$23,D101*Pesos!$N$23)</f>
        <v>#N/A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1"/>
      <c r="X101" s="41"/>
    </row>
    <row r="102" ht="14.25" customHeight="1">
      <c r="A102" s="41"/>
      <c r="B102" s="51" t="s">
        <v>13</v>
      </c>
      <c r="C102" s="57" t="str">
        <f>VLOOKUP($B$102,Form_PrimeiraFase!$C$2:$FB$69,156,FALSE)</f>
        <v>Barcelona</v>
      </c>
      <c r="D102" s="40">
        <f t="shared" si="16"/>
        <v>0</v>
      </c>
      <c r="E102" s="40"/>
      <c r="F102" s="40" t="str">
        <f>G79+L79+Q79+V79+IF(SUM($D$98:$D$118)=1,2*D102*Pesos!$N$23,D102*Pesos!$N$23)</f>
        <v>#N/A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1"/>
      <c r="X102" s="41"/>
    </row>
    <row r="103" ht="14.25" customHeight="1">
      <c r="A103" s="41"/>
      <c r="B103" s="51" t="s">
        <v>14</v>
      </c>
      <c r="C103" s="57" t="str">
        <f>VLOOKUP($B$103,Form_PrimeiraFase!$C$2:$FB$69,156,FALSE)</f>
        <v>Barcelona</v>
      </c>
      <c r="D103" s="40">
        <f t="shared" si="16"/>
        <v>0</v>
      </c>
      <c r="E103" s="40"/>
      <c r="F103" s="40" t="str">
        <f>G80+L80+Q80+V80+IF(SUM($D$98:$D$118)=1,2*D103*Pesos!$N$23,D103*Pesos!$N$23)</f>
        <v>#N/A</v>
      </c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1"/>
      <c r="X103" s="41"/>
    </row>
    <row r="104" ht="14.25" customHeight="1">
      <c r="A104" s="41"/>
      <c r="B104" s="51" t="s">
        <v>6</v>
      </c>
      <c r="C104" s="57" t="str">
        <f>VLOOKUP($B$104,Form_PrimeiraFase!$C$2:$FB$69,156,FALSE)</f>
        <v>Barcelona</v>
      </c>
      <c r="D104" s="40">
        <f t="shared" si="16"/>
        <v>0</v>
      </c>
      <c r="E104" s="40"/>
      <c r="F104" s="40" t="str">
        <f>G81+L81+Q81+V81+IF(SUM($D$98:$D$118)=1,2*D104*Pesos!$N$23,D104*Pesos!$N$23)</f>
        <v>#N/A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1"/>
      <c r="X104" s="41"/>
    </row>
    <row r="105" ht="14.25" customHeight="1">
      <c r="A105" s="41"/>
      <c r="B105" s="51" t="s">
        <v>5</v>
      </c>
      <c r="C105" s="57" t="str">
        <f>VLOOKUP($B$105,Form_PrimeiraFase!$C$2:$FB$69,156,FALSE)</f>
        <v>Liverpool</v>
      </c>
      <c r="D105" s="40">
        <f t="shared" si="16"/>
        <v>0</v>
      </c>
      <c r="E105" s="40"/>
      <c r="F105" s="40" t="str">
        <f>G82+L82+Q82+V82+IF(SUM($D$98:$D$118)=1,2*D105*Pesos!$N$23,D105*Pesos!$N$23)</f>
        <v>#N/A</v>
      </c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1"/>
      <c r="X105" s="41"/>
    </row>
    <row r="106" ht="14.25" customHeight="1">
      <c r="A106" s="41"/>
      <c r="B106" s="51" t="s">
        <v>4</v>
      </c>
      <c r="C106" s="57" t="str">
        <f>VLOOKUP($B$106,Form_PrimeiraFase!$C$2:$FB$69,156,FALSE)</f>
        <v>Barcelona</v>
      </c>
      <c r="D106" s="40">
        <f t="shared" si="16"/>
        <v>0</v>
      </c>
      <c r="E106" s="40"/>
      <c r="F106" s="40" t="str">
        <f>G83+L83+Q83+V83+IF(SUM($D$98:$D$118)=1,2*D106*Pesos!$N$23,D106*Pesos!$N$23)</f>
        <v>#N/A</v>
      </c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1"/>
      <c r="X106" s="41"/>
    </row>
    <row r="107" ht="14.25" customHeight="1">
      <c r="A107" s="41"/>
      <c r="B107" s="51" t="s">
        <v>18</v>
      </c>
      <c r="C107" s="57" t="str">
        <f>VLOOKUP($B$107,Form_PrimeiraFase!$C$2:$FB$69,156,FALSE)</f>
        <v>Barcelona</v>
      </c>
      <c r="D107" s="40">
        <f t="shared" si="16"/>
        <v>0</v>
      </c>
      <c r="E107" s="40"/>
      <c r="F107" s="40" t="str">
        <f>G84+L84+Q84+V84+IF(SUM($D$98:$D$118)=1,2*D107*Pesos!$N$23,D107*Pesos!$N$23)</f>
        <v>#N/A</v>
      </c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1"/>
      <c r="X107" s="41"/>
    </row>
    <row r="108" ht="14.25" customHeight="1">
      <c r="A108" s="41"/>
      <c r="B108" s="51" t="s">
        <v>2</v>
      </c>
      <c r="C108" s="57" t="str">
        <f>VLOOKUP($B$108,Form_PrimeiraFase!$C$2:$FB$69,156,FALSE)</f>
        <v>Real Madrid</v>
      </c>
      <c r="D108" s="40">
        <f t="shared" si="16"/>
        <v>0</v>
      </c>
      <c r="E108" s="40"/>
      <c r="F108" s="40" t="str">
        <f>G85+L85+Q85+V85+IF(SUM($D$98:$D$118)=1,2*D108*Pesos!$N$23,D108*Pesos!$N$23)</f>
        <v>#N/A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1"/>
      <c r="X108" s="41"/>
    </row>
    <row r="109" ht="14.25" customHeight="1">
      <c r="A109" s="41"/>
      <c r="B109" s="51" t="s">
        <v>15</v>
      </c>
      <c r="C109" s="57" t="str">
        <f>VLOOKUP($B$109,Form_PrimeiraFase!$C$2:$FB$69,156,FALSE)</f>
        <v>Barcelona</v>
      </c>
      <c r="D109" s="40">
        <f t="shared" si="16"/>
        <v>0</v>
      </c>
      <c r="E109" s="40"/>
      <c r="F109" s="40">
        <f>G86+L86+Q86+V86+IF(SUM($D$98:$D$118)=1,2*D109*Pesos!$N$23,D109*Pesos!$N$23)</f>
        <v>0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1"/>
      <c r="X109" s="41"/>
    </row>
    <row r="110" ht="14.25" customHeight="1">
      <c r="A110" s="41"/>
      <c r="B110" s="51" t="s">
        <v>12</v>
      </c>
      <c r="C110" s="57" t="str">
        <f>VLOOKUP($B$110,Form_PrimeiraFase!$C$2:$FB$69,156,FALSE)</f>
        <v>Liverpool</v>
      </c>
      <c r="D110" s="40">
        <f t="shared" si="16"/>
        <v>0</v>
      </c>
      <c r="E110" s="40"/>
      <c r="F110" s="40" t="str">
        <f>G87+L87+Q87+V87+IF(SUM($D$98:$D$118)=1,2*D110*Pesos!$N$23,D110*Pesos!$N$23)</f>
        <v>#N/A</v>
      </c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1"/>
      <c r="X110" s="41"/>
    </row>
    <row r="111" ht="14.25" customHeight="1">
      <c r="A111" s="41"/>
      <c r="B111" s="51" t="s">
        <v>8</v>
      </c>
      <c r="C111" s="57" t="str">
        <f>VLOOKUP($B$111,Form_PrimeiraFase!$C$2:$FB$69,156,FALSE)</f>
        <v>Chelsea</v>
      </c>
      <c r="D111" s="40">
        <f t="shared" si="16"/>
        <v>0</v>
      </c>
      <c r="E111" s="40"/>
      <c r="F111" s="40">
        <f>G88+L88+Q88+V88+IF(SUM($D$98:$D$118)=1,2*D111*Pesos!$N$23,D111*Pesos!$N$23)</f>
        <v>0</v>
      </c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1"/>
      <c r="X111" s="41"/>
    </row>
    <row r="112" ht="14.25" customHeight="1">
      <c r="A112" s="41"/>
      <c r="B112" s="51" t="s">
        <v>16</v>
      </c>
      <c r="C112" s="57" t="str">
        <f>VLOOKUP($B$112,Form_PrimeiraFase!$C$2:$FB$69,156,FALSE)</f>
        <v>Barcelona</v>
      </c>
      <c r="D112" s="40">
        <f t="shared" si="16"/>
        <v>0</v>
      </c>
      <c r="E112" s="40"/>
      <c r="F112" s="40">
        <f>G89+L89+Q89+V89+IF(SUM($D$98:$D$118)=1,2*D112*Pesos!$N$23,D112*Pesos!$N$23)</f>
        <v>0</v>
      </c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1"/>
      <c r="X112" s="41"/>
    </row>
    <row r="113" ht="14.25" customHeight="1">
      <c r="A113" s="41"/>
      <c r="B113" s="51" t="s">
        <v>11</v>
      </c>
      <c r="C113" s="57" t="str">
        <f>VLOOKUP($B$113,Form_PrimeiraFase!$C$2:$FB$69,156,FALSE)</f>
        <v>Barcelona</v>
      </c>
      <c r="D113" s="40">
        <f t="shared" si="16"/>
        <v>0</v>
      </c>
      <c r="E113" s="40"/>
      <c r="F113" s="40" t="str">
        <f>G90+L90+Q90+V90+IF(SUM($D$98:$D$118)=1,2*D113*Pesos!$N$23,D113*Pesos!$N$23)</f>
        <v>#N/A</v>
      </c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1"/>
      <c r="X113" s="41"/>
    </row>
    <row r="114" ht="14.25" customHeight="1">
      <c r="A114" s="41"/>
      <c r="B114" s="51" t="s">
        <v>7</v>
      </c>
      <c r="C114" s="57" t="str">
        <f>VLOOKUP($B$114,Form_PrimeiraFase!$C$2:$FB$69,156,FALSE)</f>
        <v>Barcelona</v>
      </c>
      <c r="D114" s="40">
        <f t="shared" si="16"/>
        <v>0</v>
      </c>
      <c r="E114" s="40"/>
      <c r="F114" s="40" t="str">
        <f>G91+L91+Q91+V91+IF(SUM($D$98:$D$118)=1,2*D114*Pesos!$N$23,D114*Pesos!$N$23)</f>
        <v>#N/A</v>
      </c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1"/>
      <c r="X114" s="41"/>
    </row>
    <row r="115" ht="14.25" customHeight="1">
      <c r="A115" s="41"/>
      <c r="B115" s="51" t="s">
        <v>19</v>
      </c>
      <c r="C115" s="57" t="str">
        <f>VLOOKUP($B$115,Form_PrimeiraFase!$C$2:$FB$69,156,FALSE)</f>
        <v>Paris Saint-Germain</v>
      </c>
      <c r="D115" s="40">
        <f t="shared" si="16"/>
        <v>0</v>
      </c>
      <c r="E115" s="40"/>
      <c r="F115" s="40" t="str">
        <f>G92+L92+Q92+V92+IF(SUM($D$98:$D$118)=1,2*D115*Pesos!$N$23,D115*Pesos!$N$23)</f>
        <v>#N/A</v>
      </c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1"/>
      <c r="X115" s="41"/>
    </row>
    <row r="116" ht="14.25" customHeight="1">
      <c r="A116" s="41"/>
      <c r="B116" s="52" t="s">
        <v>20</v>
      </c>
      <c r="C116" s="57" t="str">
        <f>VLOOKUP($B$116,Form_PrimeiraFase!$C$2:$FB$69,156,FALSE)</f>
        <v>Barcelona</v>
      </c>
      <c r="D116" s="40">
        <f t="shared" si="16"/>
        <v>0</v>
      </c>
      <c r="E116" s="40"/>
      <c r="F116" s="40" t="str">
        <f>G93+L93+Q93+V93+IF(SUM($D$98:$D$118)=1,2*D116*Pesos!$N$23,D116*Pesos!$N$23)</f>
        <v>#N/A</v>
      </c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1"/>
      <c r="X116" s="41"/>
    </row>
    <row r="117" ht="14.25" customHeight="1">
      <c r="A117" s="41"/>
      <c r="B117" s="52" t="s">
        <v>21</v>
      </c>
      <c r="C117" s="57" t="str">
        <f>VLOOKUP($B$117,Form_PrimeiraFase!$C$2:$FB$69,156,FALSE)</f>
        <v>Liverpool</v>
      </c>
      <c r="D117" s="40">
        <f t="shared" si="16"/>
        <v>0</v>
      </c>
      <c r="E117" s="40"/>
      <c r="F117" s="40" t="str">
        <f>G94+L94+Q94+V94+IF(SUM($D$98:$D$118)=1,2*D117*Pesos!$N$23,D117*Pesos!$N$23)</f>
        <v>#N/A</v>
      </c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1"/>
      <c r="X117" s="41"/>
    </row>
    <row r="118" ht="14.25" customHeight="1">
      <c r="A118" s="41"/>
      <c r="B118" s="51" t="s">
        <v>22</v>
      </c>
      <c r="C118" s="57" t="str">
        <f>VLOOKUP($B$118,Form_PrimeiraFase!$C$2:$FB$69,156,FALSE)</f>
        <v>Barcelona</v>
      </c>
      <c r="D118" s="40">
        <f t="shared" si="16"/>
        <v>0</v>
      </c>
      <c r="E118" s="40"/>
      <c r="F118" s="40" t="str">
        <f>G95+L95+Q95+V95+IF(SUM($D$98:$D$118)=1,2*D118*Pesos!$N$23,D118*Pesos!$N$23)</f>
        <v>#N/A</v>
      </c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1"/>
      <c r="X118" s="41"/>
    </row>
    <row r="119" ht="14.25" customHeight="1">
      <c r="A119" s="41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1"/>
      <c r="X119" s="41"/>
    </row>
    <row r="120" ht="14.25" customHeight="1">
      <c r="A120" s="41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1"/>
      <c r="X120" s="41"/>
    </row>
    <row r="121" ht="14.25" customHeight="1">
      <c r="A121" s="4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1"/>
      <c r="X121" s="41"/>
    </row>
    <row r="122" ht="14.25" customHeight="1">
      <c r="A122" s="4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1"/>
      <c r="X122" s="41"/>
    </row>
    <row r="123" ht="14.25" customHeight="1">
      <c r="A123" s="41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1"/>
      <c r="X123" s="41"/>
    </row>
    <row r="124" ht="14.25" customHeight="1">
      <c r="A124" s="4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1"/>
      <c r="X124" s="41"/>
    </row>
    <row r="125" ht="14.25" customHeight="1">
      <c r="A125" s="41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1"/>
      <c r="X125" s="41"/>
    </row>
    <row r="126" ht="14.25" customHeight="1">
      <c r="A126" s="41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1"/>
      <c r="X126" s="41"/>
    </row>
    <row r="127" ht="14.25" customHeight="1">
      <c r="A127" s="41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1"/>
      <c r="X127" s="41"/>
    </row>
    <row r="128" ht="14.25" customHeight="1">
      <c r="A128" s="41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1"/>
      <c r="X128" s="41"/>
    </row>
    <row r="129" ht="14.25" customHeight="1">
      <c r="A129" s="41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1"/>
      <c r="X129" s="41"/>
    </row>
    <row r="130" ht="14.25" customHeight="1">
      <c r="A130" s="41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1"/>
      <c r="X130" s="41"/>
    </row>
    <row r="131" ht="14.25" customHeight="1">
      <c r="A131" s="41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1"/>
      <c r="X131" s="41"/>
    </row>
    <row r="132" ht="14.25" customHeight="1">
      <c r="A132" s="41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1"/>
      <c r="X132" s="41"/>
    </row>
    <row r="133" ht="14.25" customHeight="1">
      <c r="A133" s="41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1"/>
      <c r="X133" s="41"/>
    </row>
    <row r="134" ht="14.25" customHeight="1">
      <c r="A134" s="41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1"/>
      <c r="X134" s="41"/>
    </row>
    <row r="135" ht="14.25" customHeight="1">
      <c r="A135" s="41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1"/>
      <c r="X135" s="41"/>
    </row>
    <row r="136" ht="14.25" customHeight="1">
      <c r="A136" s="41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1"/>
      <c r="X136" s="41"/>
    </row>
    <row r="137" ht="14.25" customHeight="1">
      <c r="A137" s="41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1"/>
      <c r="X137" s="41"/>
    </row>
    <row r="138" ht="14.25" customHeight="1">
      <c r="A138" s="41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1"/>
      <c r="X138" s="41"/>
    </row>
    <row r="139" ht="14.25" customHeight="1">
      <c r="A139" s="41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1"/>
      <c r="X139" s="41"/>
    </row>
    <row r="140" ht="14.25" customHeight="1">
      <c r="A140" s="41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1"/>
      <c r="X140" s="41"/>
    </row>
    <row r="141" ht="14.25" customHeight="1">
      <c r="A141" s="41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1"/>
      <c r="X141" s="41"/>
    </row>
    <row r="142" ht="14.25" customHeight="1">
      <c r="A142" s="41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1"/>
      <c r="X142" s="41"/>
    </row>
    <row r="143" ht="14.25" customHeight="1">
      <c r="A143" s="41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1"/>
      <c r="X143" s="41"/>
    </row>
    <row r="144" ht="14.25" customHeight="1">
      <c r="A144" s="41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1"/>
      <c r="X144" s="41"/>
    </row>
    <row r="145" ht="14.25" customHeight="1">
      <c r="A145" s="41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1"/>
      <c r="X145" s="41"/>
    </row>
    <row r="146" ht="14.25" customHeight="1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1"/>
      <c r="X146" s="41"/>
    </row>
    <row r="147" ht="14.25" customHeight="1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1"/>
      <c r="X147" s="41"/>
    </row>
    <row r="148" ht="14.25" customHeight="1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1"/>
      <c r="X148" s="41"/>
    </row>
    <row r="149" ht="14.25" customHeight="1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1"/>
      <c r="X149" s="41"/>
    </row>
    <row r="150" ht="14.25" customHeight="1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1"/>
      <c r="X150" s="41"/>
    </row>
    <row r="151" ht="14.25" customHeight="1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1"/>
      <c r="X151" s="41"/>
    </row>
    <row r="152" ht="14.25" customHeight="1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1"/>
      <c r="X152" s="41"/>
    </row>
    <row r="153" ht="14.25" customHeight="1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1"/>
      <c r="X153" s="41"/>
    </row>
    <row r="154" ht="14.25" customHeight="1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1"/>
      <c r="X154" s="41"/>
    </row>
    <row r="155" ht="14.25" customHeight="1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1"/>
      <c r="X155" s="41"/>
    </row>
    <row r="156" ht="14.25" customHeight="1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1"/>
      <c r="X156" s="41"/>
    </row>
    <row r="157" ht="14.25" customHeight="1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1"/>
      <c r="X157" s="41"/>
    </row>
    <row r="158" ht="14.25" customHeight="1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1"/>
      <c r="X158" s="41"/>
    </row>
    <row r="159" ht="14.25" customHeight="1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1"/>
      <c r="X159" s="41"/>
    </row>
    <row r="160" ht="14.25" customHeight="1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1"/>
      <c r="X160" s="41"/>
    </row>
    <row r="161" ht="14.25" customHeight="1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1"/>
      <c r="X161" s="41"/>
    </row>
    <row r="162" ht="14.25" customHeight="1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1"/>
      <c r="X162" s="41"/>
    </row>
    <row r="163" ht="14.25" customHeight="1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1"/>
      <c r="X163" s="41"/>
    </row>
    <row r="164" ht="14.25" customHeight="1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1"/>
      <c r="X164" s="41"/>
    </row>
    <row r="165" ht="14.25" customHeight="1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1"/>
      <c r="X165" s="41"/>
    </row>
    <row r="166" ht="14.25" customHeight="1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1"/>
      <c r="X166" s="41"/>
    </row>
    <row r="167" ht="14.25" customHeight="1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1"/>
      <c r="X167" s="41"/>
    </row>
    <row r="168" ht="14.25" customHeight="1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1"/>
      <c r="X168" s="41"/>
    </row>
    <row r="169" ht="14.25" customHeight="1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1"/>
      <c r="X169" s="41"/>
    </row>
    <row r="170" ht="14.25" customHeight="1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1"/>
      <c r="X170" s="41"/>
    </row>
    <row r="171" ht="14.25" customHeight="1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1"/>
      <c r="X171" s="41"/>
    </row>
    <row r="172" ht="14.25" customHeight="1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1"/>
      <c r="X172" s="41"/>
    </row>
    <row r="173" ht="14.25" customHeight="1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1"/>
      <c r="X173" s="41"/>
    </row>
    <row r="174" ht="14.25" customHeight="1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1"/>
      <c r="X174" s="41"/>
    </row>
    <row r="175" ht="14.25" customHeight="1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1"/>
      <c r="X175" s="41"/>
    </row>
    <row r="176" ht="14.25" customHeight="1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1"/>
      <c r="X176" s="41"/>
    </row>
    <row r="177" ht="14.25" customHeight="1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1"/>
      <c r="X177" s="41"/>
    </row>
    <row r="178" ht="14.25" customHeight="1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1"/>
      <c r="X178" s="41"/>
    </row>
    <row r="179" ht="14.25" customHeight="1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1"/>
      <c r="X179" s="41"/>
    </row>
    <row r="180" ht="14.25" customHeight="1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1"/>
      <c r="X180" s="41"/>
    </row>
    <row r="181" ht="14.25" customHeight="1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1"/>
      <c r="X181" s="41"/>
    </row>
    <row r="182" ht="14.25" customHeight="1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1"/>
      <c r="X182" s="41"/>
    </row>
    <row r="183" ht="14.25" customHeight="1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1"/>
      <c r="X183" s="41"/>
    </row>
    <row r="184" ht="14.25" customHeight="1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1"/>
      <c r="X184" s="41"/>
    </row>
    <row r="185" ht="14.25" customHeight="1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1"/>
      <c r="X185" s="41"/>
    </row>
    <row r="186" ht="14.25" customHeight="1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1"/>
      <c r="X186" s="41"/>
    </row>
    <row r="187" ht="14.25" customHeight="1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1"/>
      <c r="X187" s="41"/>
    </row>
    <row r="188" ht="14.25" customHeight="1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1"/>
      <c r="X188" s="41"/>
    </row>
    <row r="189" ht="14.25" customHeight="1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1"/>
      <c r="X189" s="41"/>
    </row>
    <row r="190" ht="14.25" customHeight="1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1"/>
      <c r="X190" s="41"/>
    </row>
    <row r="191" ht="14.25" customHeight="1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1"/>
      <c r="X191" s="41"/>
    </row>
    <row r="192" ht="14.25" customHeight="1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1"/>
      <c r="X192" s="41"/>
    </row>
    <row r="193" ht="14.25" customHeight="1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1"/>
      <c r="X193" s="41"/>
    </row>
    <row r="194" ht="14.25" customHeight="1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1"/>
      <c r="X194" s="41"/>
    </row>
    <row r="195" ht="14.25" customHeight="1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1"/>
      <c r="X195" s="41"/>
    </row>
    <row r="196" ht="14.25" customHeight="1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1"/>
      <c r="X196" s="41"/>
    </row>
    <row r="197" ht="14.25" customHeight="1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1"/>
      <c r="X197" s="41"/>
    </row>
    <row r="198" ht="14.25" customHeight="1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1"/>
      <c r="X198" s="41"/>
    </row>
    <row r="199" ht="14.25" customHeight="1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1"/>
      <c r="X199" s="41"/>
    </row>
    <row r="200" ht="14.25" customHeight="1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1"/>
      <c r="X200" s="41"/>
    </row>
    <row r="201" ht="14.25" customHeight="1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1"/>
      <c r="X201" s="41"/>
    </row>
    <row r="202" ht="14.25" customHeight="1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1"/>
      <c r="X202" s="41"/>
    </row>
    <row r="203" ht="14.25" customHeight="1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1"/>
      <c r="X203" s="41"/>
    </row>
    <row r="204" ht="14.25" customHeight="1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1"/>
      <c r="X204" s="41"/>
    </row>
    <row r="205" ht="14.25" customHeight="1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1"/>
      <c r="X205" s="41"/>
    </row>
    <row r="206" ht="14.25" customHeight="1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1"/>
      <c r="X206" s="41"/>
    </row>
    <row r="207" ht="14.25" customHeight="1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1"/>
      <c r="X207" s="41"/>
    </row>
    <row r="208" ht="14.25" customHeight="1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1"/>
      <c r="X208" s="41"/>
    </row>
    <row r="209" ht="14.25" customHeight="1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1"/>
      <c r="X209" s="41"/>
    </row>
    <row r="210" ht="14.25" customHeight="1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1"/>
      <c r="X210" s="41"/>
    </row>
    <row r="211" ht="14.25" customHeight="1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1"/>
      <c r="X211" s="41"/>
    </row>
    <row r="212" ht="14.25" customHeight="1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1"/>
      <c r="X212" s="41"/>
    </row>
    <row r="213" ht="14.25" customHeight="1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1"/>
      <c r="X213" s="41"/>
    </row>
    <row r="214" ht="14.25" customHeight="1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1"/>
      <c r="X214" s="41"/>
    </row>
    <row r="215" ht="14.25" customHeight="1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1"/>
      <c r="X215" s="41"/>
    </row>
    <row r="216" ht="14.25" customHeight="1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1"/>
      <c r="X216" s="41"/>
    </row>
    <row r="217" ht="14.25" customHeight="1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1"/>
      <c r="X217" s="41"/>
    </row>
    <row r="218" ht="14.25" customHeight="1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1"/>
      <c r="X218" s="41"/>
    </row>
    <row r="219" ht="14.25" customHeight="1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1"/>
      <c r="X219" s="41"/>
    </row>
    <row r="220" ht="14.25" customHeight="1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1"/>
      <c r="X220" s="41"/>
    </row>
    <row r="221" ht="14.25" customHeight="1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1"/>
      <c r="X221" s="41"/>
    </row>
    <row r="222" ht="14.25" customHeight="1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1"/>
      <c r="X222" s="41"/>
    </row>
    <row r="223" ht="14.25" customHeight="1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1"/>
      <c r="X223" s="41"/>
    </row>
    <row r="224" ht="14.25" customHeight="1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1"/>
      <c r="X224" s="41"/>
    </row>
    <row r="225" ht="14.25" customHeight="1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1"/>
      <c r="X225" s="41"/>
    </row>
    <row r="226" ht="14.25" customHeight="1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1"/>
      <c r="X226" s="41"/>
    </row>
    <row r="227" ht="14.25" customHeight="1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1"/>
      <c r="X227" s="41"/>
    </row>
    <row r="228" ht="14.25" customHeight="1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1"/>
      <c r="X228" s="41"/>
    </row>
    <row r="229" ht="14.25" customHeight="1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1"/>
      <c r="X229" s="41"/>
    </row>
    <row r="230" ht="14.25" customHeight="1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1"/>
      <c r="X230" s="41"/>
    </row>
    <row r="231" ht="14.25" customHeight="1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1"/>
      <c r="X231" s="41"/>
    </row>
    <row r="232" ht="14.25" customHeight="1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1"/>
      <c r="X232" s="41"/>
    </row>
    <row r="233" ht="14.25" customHeight="1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1"/>
      <c r="X233" s="41"/>
    </row>
    <row r="234" ht="14.25" customHeight="1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1"/>
      <c r="X234" s="41"/>
    </row>
    <row r="235" ht="14.25" customHeight="1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1"/>
      <c r="X235" s="41"/>
    </row>
    <row r="236" ht="14.25" customHeight="1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1"/>
      <c r="X236" s="41"/>
    </row>
    <row r="237" ht="14.25" customHeight="1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1"/>
      <c r="X237" s="41"/>
    </row>
    <row r="238" ht="14.25" customHeight="1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1"/>
      <c r="X238" s="41"/>
    </row>
    <row r="239" ht="14.25" customHeight="1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1"/>
      <c r="X239" s="41"/>
    </row>
    <row r="240" ht="14.25" customHeight="1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1"/>
      <c r="X240" s="41"/>
    </row>
    <row r="241" ht="14.25" customHeight="1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1"/>
      <c r="X241" s="41"/>
    </row>
    <row r="242" ht="14.25" customHeight="1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1"/>
      <c r="X242" s="41"/>
    </row>
    <row r="243" ht="14.25" customHeight="1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1"/>
      <c r="X243" s="41"/>
    </row>
    <row r="244" ht="14.25" customHeight="1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1"/>
      <c r="X244" s="41"/>
    </row>
    <row r="245" ht="14.25" customHeight="1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1"/>
      <c r="X245" s="41"/>
    </row>
    <row r="246" ht="14.25" customHeight="1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1"/>
      <c r="X246" s="41"/>
    </row>
    <row r="247" ht="14.25" customHeight="1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1"/>
      <c r="X247" s="41"/>
    </row>
    <row r="248" ht="14.25" customHeight="1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1"/>
      <c r="X248" s="41"/>
    </row>
    <row r="249" ht="14.25" customHeight="1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1"/>
      <c r="X249" s="41"/>
    </row>
    <row r="250" ht="14.25" customHeight="1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1"/>
      <c r="X250" s="41"/>
    </row>
    <row r="251" ht="14.25" customHeight="1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1"/>
      <c r="X251" s="41"/>
    </row>
    <row r="252" ht="14.25" customHeight="1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1"/>
      <c r="X252" s="41"/>
    </row>
    <row r="253" ht="14.25" customHeight="1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1"/>
      <c r="X253" s="41"/>
    </row>
    <row r="254" ht="14.25" customHeight="1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1"/>
      <c r="X254" s="41"/>
    </row>
    <row r="255" ht="14.25" customHeight="1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1"/>
      <c r="X255" s="41"/>
    </row>
    <row r="256" ht="14.25" customHeight="1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1"/>
      <c r="X256" s="41"/>
    </row>
    <row r="257" ht="14.25" customHeight="1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1"/>
      <c r="X257" s="41"/>
    </row>
    <row r="258" ht="14.25" customHeight="1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1"/>
      <c r="X258" s="41"/>
    </row>
    <row r="259" ht="14.25" customHeight="1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1"/>
      <c r="X259" s="41"/>
    </row>
    <row r="260" ht="14.25" customHeight="1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1"/>
      <c r="X260" s="41"/>
    </row>
    <row r="261" ht="14.25" customHeight="1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1"/>
      <c r="X261" s="41"/>
    </row>
    <row r="262" ht="14.25" customHeight="1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1"/>
      <c r="X262" s="41"/>
    </row>
    <row r="263" ht="14.25" customHeight="1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1"/>
      <c r="X263" s="41"/>
    </row>
    <row r="264" ht="14.25" customHeight="1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1"/>
      <c r="X264" s="41"/>
    </row>
    <row r="265" ht="14.25" customHeight="1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1"/>
      <c r="X265" s="41"/>
    </row>
    <row r="266" ht="14.25" customHeight="1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1"/>
      <c r="X266" s="41"/>
    </row>
    <row r="267" ht="14.25" customHeight="1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1"/>
      <c r="X267" s="41"/>
    </row>
    <row r="268" ht="14.25" customHeight="1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1"/>
      <c r="X268" s="41"/>
    </row>
    <row r="269" ht="14.25" customHeight="1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1"/>
      <c r="X269" s="41"/>
    </row>
    <row r="270" ht="14.25" customHeight="1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1"/>
      <c r="X270" s="41"/>
    </row>
    <row r="271" ht="14.25" customHeight="1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1"/>
      <c r="X271" s="41"/>
    </row>
    <row r="272" ht="14.25" customHeight="1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1"/>
      <c r="X272" s="41"/>
    </row>
    <row r="273" ht="14.25" customHeight="1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1"/>
      <c r="X273" s="41"/>
    </row>
    <row r="274" ht="14.25" customHeight="1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1"/>
      <c r="X274" s="41"/>
    </row>
    <row r="275" ht="14.25" customHeight="1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1"/>
      <c r="X275" s="41"/>
    </row>
    <row r="276" ht="14.25" customHeight="1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1"/>
      <c r="X276" s="41"/>
    </row>
    <row r="277" ht="14.25" customHeight="1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1"/>
      <c r="X277" s="41"/>
    </row>
    <row r="278" ht="14.25" customHeight="1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1"/>
      <c r="X278" s="41"/>
    </row>
    <row r="279" ht="14.25" customHeight="1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1"/>
      <c r="X279" s="41"/>
    </row>
    <row r="280" ht="14.25" customHeight="1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1"/>
      <c r="X280" s="41"/>
    </row>
    <row r="281" ht="14.25" customHeight="1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1"/>
      <c r="X281" s="41"/>
    </row>
    <row r="282" ht="14.25" customHeight="1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1"/>
      <c r="X282" s="41"/>
    </row>
    <row r="283" ht="14.25" customHeight="1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1"/>
      <c r="X283" s="41"/>
    </row>
    <row r="284" ht="14.25" customHeight="1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1"/>
      <c r="X284" s="41"/>
    </row>
    <row r="285" ht="14.25" customHeight="1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1"/>
      <c r="X285" s="41"/>
    </row>
    <row r="286" ht="14.25" customHeight="1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1"/>
      <c r="X286" s="41"/>
    </row>
    <row r="287" ht="14.25" customHeight="1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1"/>
      <c r="X287" s="41"/>
    </row>
    <row r="288" ht="14.25" customHeight="1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1"/>
      <c r="X288" s="41"/>
    </row>
    <row r="289" ht="14.25" customHeight="1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1"/>
      <c r="X289" s="41"/>
    </row>
    <row r="290" ht="14.25" customHeight="1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1"/>
      <c r="X290" s="41"/>
    </row>
    <row r="291" ht="14.25" customHeight="1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1"/>
      <c r="X291" s="41"/>
    </row>
    <row r="292" ht="14.25" customHeight="1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1"/>
      <c r="X292" s="41"/>
    </row>
    <row r="293" ht="14.25" customHeight="1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1"/>
      <c r="X293" s="41"/>
    </row>
    <row r="294" ht="14.25" customHeight="1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1"/>
      <c r="X294" s="41"/>
    </row>
    <row r="295" ht="14.25" customHeight="1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1"/>
      <c r="X295" s="41"/>
    </row>
    <row r="296" ht="14.25" customHeight="1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1"/>
      <c r="X296" s="41"/>
    </row>
    <row r="297" ht="14.25" customHeight="1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1"/>
      <c r="X297" s="41"/>
    </row>
    <row r="298" ht="14.25" customHeight="1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1"/>
      <c r="X298" s="41"/>
    </row>
    <row r="299" ht="14.25" customHeight="1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1"/>
      <c r="X299" s="41"/>
    </row>
    <row r="300" ht="14.25" customHeight="1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1"/>
      <c r="X300" s="41"/>
    </row>
    <row r="301" ht="14.25" customHeight="1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1"/>
      <c r="X301" s="41"/>
    </row>
    <row r="302" ht="14.25" customHeight="1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1"/>
      <c r="X302" s="41"/>
    </row>
    <row r="303" ht="14.25" customHeight="1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1"/>
      <c r="X303" s="41"/>
    </row>
    <row r="304" ht="14.25" customHeight="1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1"/>
      <c r="X304" s="41"/>
    </row>
    <row r="305" ht="14.25" customHeight="1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1"/>
      <c r="X305" s="41"/>
    </row>
    <row r="306" ht="14.25" customHeight="1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1"/>
      <c r="X306" s="41"/>
    </row>
    <row r="307" ht="14.25" customHeight="1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1"/>
      <c r="X307" s="41"/>
    </row>
    <row r="308" ht="14.25" customHeight="1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1"/>
      <c r="X308" s="41"/>
    </row>
    <row r="309" ht="14.25" customHeight="1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1"/>
      <c r="X309" s="41"/>
    </row>
    <row r="310" ht="14.25" customHeight="1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1"/>
      <c r="X310" s="41"/>
    </row>
    <row r="311" ht="14.25" customHeight="1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1"/>
      <c r="X311" s="41"/>
    </row>
    <row r="312" ht="14.25" customHeight="1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1"/>
      <c r="X312" s="41"/>
    </row>
    <row r="313" ht="14.25" customHeight="1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1"/>
      <c r="X313" s="41"/>
    </row>
    <row r="314" ht="14.25" customHeight="1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1"/>
      <c r="X314" s="41"/>
    </row>
    <row r="315" ht="14.25" customHeight="1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1"/>
      <c r="X315" s="41"/>
    </row>
    <row r="316" ht="14.25" customHeight="1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1"/>
      <c r="X316" s="41"/>
    </row>
    <row r="317" ht="14.25" customHeight="1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1"/>
      <c r="X317" s="41"/>
    </row>
    <row r="318" ht="14.25" customHeight="1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1"/>
      <c r="X318" s="41"/>
    </row>
    <row r="319" ht="14.25" customHeight="1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1"/>
      <c r="X319" s="41"/>
    </row>
    <row r="320" ht="14.25" customHeight="1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1"/>
      <c r="X320" s="41"/>
    </row>
    <row r="321" ht="14.25" customHeight="1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1"/>
      <c r="X321" s="41"/>
    </row>
    <row r="322" ht="14.25" customHeight="1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1"/>
      <c r="X322" s="41"/>
    </row>
    <row r="323" ht="14.25" customHeight="1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1"/>
      <c r="X323" s="41"/>
    </row>
    <row r="324" ht="14.25" customHeight="1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1"/>
      <c r="X324" s="41"/>
    </row>
    <row r="325" ht="14.25" customHeight="1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1"/>
      <c r="X325" s="41"/>
    </row>
    <row r="326" ht="14.25" customHeight="1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1"/>
      <c r="X326" s="41"/>
    </row>
    <row r="327" ht="14.25" customHeight="1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1"/>
      <c r="X327" s="41"/>
    </row>
    <row r="328" ht="14.25" customHeight="1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1"/>
      <c r="X328" s="41"/>
    </row>
    <row r="329" ht="14.25" customHeight="1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1"/>
      <c r="X329" s="41"/>
    </row>
    <row r="330" ht="14.25" customHeight="1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1"/>
      <c r="X330" s="41"/>
    </row>
    <row r="331" ht="14.25" customHeight="1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1"/>
      <c r="X331" s="41"/>
    </row>
    <row r="332" ht="14.25" customHeight="1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1"/>
      <c r="X332" s="41"/>
    </row>
    <row r="333" ht="14.25" customHeight="1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1"/>
      <c r="X333" s="41"/>
    </row>
    <row r="334" ht="14.25" customHeight="1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1"/>
      <c r="X334" s="41"/>
    </row>
    <row r="335" ht="14.25" customHeight="1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1"/>
      <c r="X335" s="41"/>
    </row>
    <row r="336" ht="14.25" customHeight="1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1"/>
      <c r="X336" s="41"/>
    </row>
    <row r="337" ht="14.25" customHeight="1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1"/>
      <c r="X337" s="41"/>
    </row>
    <row r="338" ht="14.25" customHeight="1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1"/>
      <c r="X338" s="41"/>
    </row>
    <row r="339" ht="14.25" customHeight="1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1"/>
      <c r="X339" s="41"/>
    </row>
    <row r="340" ht="14.25" customHeight="1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1"/>
      <c r="X340" s="41"/>
    </row>
    <row r="341" ht="14.25" customHeight="1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1"/>
      <c r="X341" s="41"/>
    </row>
    <row r="342" ht="14.25" customHeight="1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1"/>
      <c r="X342" s="41"/>
    </row>
    <row r="343" ht="14.25" customHeight="1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1"/>
      <c r="X343" s="41"/>
    </row>
    <row r="344" ht="14.25" customHeight="1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1"/>
      <c r="X344" s="41"/>
    </row>
    <row r="345" ht="14.25" customHeight="1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1"/>
      <c r="X345" s="41"/>
    </row>
    <row r="346" ht="14.25" customHeight="1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1"/>
      <c r="X346" s="41"/>
    </row>
    <row r="347" ht="14.25" customHeight="1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1"/>
      <c r="X347" s="41"/>
    </row>
    <row r="348" ht="14.25" customHeight="1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1"/>
      <c r="X348" s="41"/>
    </row>
    <row r="349" ht="14.25" customHeight="1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1"/>
      <c r="X349" s="41"/>
    </row>
    <row r="350" ht="14.25" customHeight="1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1"/>
      <c r="X350" s="41"/>
    </row>
    <row r="351" ht="14.25" customHeight="1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1"/>
      <c r="X351" s="41"/>
    </row>
    <row r="352" ht="14.25" customHeight="1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1"/>
      <c r="X352" s="41"/>
    </row>
    <row r="353" ht="14.25" customHeight="1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1"/>
      <c r="X353" s="41"/>
    </row>
    <row r="354" ht="14.25" customHeight="1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1"/>
      <c r="X354" s="41"/>
    </row>
    <row r="355" ht="14.25" customHeight="1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1"/>
      <c r="X355" s="41"/>
    </row>
    <row r="356" ht="14.25" customHeight="1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1"/>
      <c r="X356" s="41"/>
    </row>
    <row r="357" ht="14.25" customHeight="1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1"/>
      <c r="X357" s="41"/>
    </row>
    <row r="358" ht="14.25" customHeight="1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1"/>
      <c r="X358" s="41"/>
    </row>
    <row r="359" ht="14.25" customHeight="1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1"/>
      <c r="X359" s="41"/>
    </row>
    <row r="360" ht="14.25" customHeight="1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1"/>
      <c r="X360" s="41"/>
    </row>
    <row r="361" ht="14.25" customHeight="1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1"/>
      <c r="X361" s="41"/>
    </row>
    <row r="362" ht="14.25" customHeight="1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1"/>
      <c r="X362" s="41"/>
    </row>
    <row r="363" ht="14.25" customHeight="1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1"/>
      <c r="X363" s="41"/>
    </row>
    <row r="364" ht="14.25" customHeight="1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1"/>
      <c r="X364" s="41"/>
    </row>
    <row r="365" ht="14.25" customHeight="1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1"/>
      <c r="X365" s="41"/>
    </row>
    <row r="366" ht="14.25" customHeight="1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1"/>
      <c r="X366" s="41"/>
    </row>
    <row r="367" ht="14.25" customHeight="1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1"/>
      <c r="X367" s="41"/>
    </row>
    <row r="368" ht="14.25" customHeight="1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1"/>
      <c r="X368" s="41"/>
    </row>
    <row r="369" ht="14.25" customHeight="1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1"/>
      <c r="X369" s="41"/>
    </row>
    <row r="370" ht="14.25" customHeight="1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1"/>
      <c r="X370" s="41"/>
    </row>
    <row r="371" ht="14.25" customHeight="1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1"/>
      <c r="X371" s="41"/>
    </row>
    <row r="372" ht="14.25" customHeight="1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1"/>
      <c r="X372" s="41"/>
    </row>
    <row r="373" ht="14.25" customHeight="1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1"/>
      <c r="X373" s="41"/>
    </row>
    <row r="374" ht="14.25" customHeight="1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1"/>
      <c r="X374" s="41"/>
    </row>
    <row r="375" ht="14.25" customHeight="1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1"/>
      <c r="X375" s="41"/>
    </row>
    <row r="376" ht="14.25" customHeight="1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1"/>
      <c r="X376" s="41"/>
    </row>
    <row r="377" ht="14.25" customHeight="1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1"/>
      <c r="X377" s="41"/>
    </row>
    <row r="378" ht="14.25" customHeight="1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1"/>
      <c r="X378" s="41"/>
    </row>
    <row r="379" ht="14.25" customHeight="1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1"/>
      <c r="X379" s="41"/>
    </row>
    <row r="380" ht="14.25" customHeight="1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1"/>
      <c r="X380" s="41"/>
    </row>
    <row r="381" ht="14.25" customHeight="1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1"/>
      <c r="X381" s="41"/>
    </row>
    <row r="382" ht="14.25" customHeight="1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1"/>
      <c r="X382" s="41"/>
    </row>
    <row r="383" ht="14.25" customHeight="1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1"/>
      <c r="X383" s="41"/>
    </row>
    <row r="384" ht="14.25" customHeight="1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1"/>
      <c r="X384" s="41"/>
    </row>
    <row r="385" ht="14.25" customHeight="1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1"/>
      <c r="X385" s="41"/>
    </row>
    <row r="386" ht="14.25" customHeight="1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1"/>
      <c r="X386" s="41"/>
    </row>
    <row r="387" ht="14.25" customHeight="1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1"/>
      <c r="X387" s="41"/>
    </row>
    <row r="388" ht="14.25" customHeight="1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1"/>
      <c r="X388" s="41"/>
    </row>
    <row r="389" ht="14.25" customHeight="1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1"/>
      <c r="X389" s="41"/>
    </row>
    <row r="390" ht="14.25" customHeight="1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1"/>
      <c r="X390" s="41"/>
    </row>
    <row r="391" ht="14.25" customHeight="1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1"/>
      <c r="X391" s="41"/>
    </row>
    <row r="392" ht="14.25" customHeight="1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1"/>
      <c r="X392" s="41"/>
    </row>
    <row r="393" ht="14.25" customHeight="1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1"/>
      <c r="X393" s="41"/>
    </row>
    <row r="394" ht="14.25" customHeight="1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1"/>
      <c r="X394" s="41"/>
    </row>
    <row r="395" ht="14.25" customHeight="1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1"/>
      <c r="X395" s="41"/>
    </row>
    <row r="396" ht="14.25" customHeight="1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1"/>
      <c r="X396" s="41"/>
    </row>
    <row r="397" ht="14.25" customHeight="1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1"/>
      <c r="X397" s="41"/>
    </row>
    <row r="398" ht="14.25" customHeight="1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1"/>
      <c r="X398" s="41"/>
    </row>
    <row r="399" ht="14.25" customHeight="1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1"/>
      <c r="X399" s="41"/>
    </row>
    <row r="400" ht="14.25" customHeight="1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1"/>
      <c r="X400" s="41"/>
    </row>
    <row r="401" ht="14.25" customHeight="1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1"/>
      <c r="X401" s="41"/>
    </row>
    <row r="402" ht="14.25" customHeight="1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1"/>
      <c r="X402" s="41"/>
    </row>
    <row r="403" ht="14.25" customHeight="1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1"/>
      <c r="X403" s="41"/>
    </row>
    <row r="404" ht="14.25" customHeight="1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1"/>
      <c r="X404" s="41"/>
    </row>
    <row r="405" ht="14.25" customHeight="1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1"/>
      <c r="X405" s="41"/>
    </row>
    <row r="406" ht="14.25" customHeight="1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1"/>
      <c r="X406" s="41"/>
    </row>
    <row r="407" ht="14.25" customHeight="1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1"/>
      <c r="X407" s="41"/>
    </row>
    <row r="408" ht="14.25" customHeight="1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1"/>
      <c r="X408" s="41"/>
    </row>
    <row r="409" ht="14.25" customHeight="1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1"/>
      <c r="X409" s="41"/>
    </row>
    <row r="410" ht="14.25" customHeight="1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1"/>
      <c r="X410" s="41"/>
    </row>
    <row r="411" ht="14.25" customHeight="1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1"/>
      <c r="X411" s="41"/>
    </row>
    <row r="412" ht="14.25" customHeight="1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1"/>
      <c r="X412" s="41"/>
    </row>
    <row r="413" ht="14.25" customHeight="1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1"/>
      <c r="X413" s="41"/>
    </row>
    <row r="414" ht="14.25" customHeight="1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1"/>
      <c r="X414" s="41"/>
    </row>
    <row r="415" ht="14.25" customHeight="1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1"/>
      <c r="X415" s="41"/>
    </row>
    <row r="416" ht="14.25" customHeight="1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1"/>
      <c r="X416" s="41"/>
    </row>
    <row r="417" ht="14.25" customHeight="1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1"/>
      <c r="X417" s="41"/>
    </row>
    <row r="418" ht="14.25" customHeight="1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1"/>
      <c r="X418" s="41"/>
    </row>
    <row r="419" ht="14.25" customHeight="1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1"/>
      <c r="X419" s="41"/>
    </row>
    <row r="420" ht="14.25" customHeight="1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1"/>
      <c r="X420" s="41"/>
    </row>
    <row r="421" ht="14.25" customHeight="1">
      <c r="A421" s="41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1"/>
      <c r="X421" s="41"/>
    </row>
    <row r="422" ht="14.25" customHeight="1">
      <c r="A422" s="41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1"/>
      <c r="X422" s="41"/>
    </row>
    <row r="423" ht="14.25" customHeight="1">
      <c r="A423" s="41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1"/>
      <c r="X423" s="41"/>
    </row>
    <row r="424" ht="14.25" customHeight="1">
      <c r="A424" s="41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1"/>
      <c r="X424" s="41"/>
    </row>
    <row r="425" ht="14.25" customHeight="1">
      <c r="A425" s="41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1"/>
      <c r="X425" s="41"/>
    </row>
    <row r="426" ht="14.25" customHeight="1">
      <c r="A426" s="41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1"/>
      <c r="X426" s="41"/>
    </row>
    <row r="427" ht="14.25" customHeight="1">
      <c r="A427" s="41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1"/>
      <c r="X427" s="41"/>
    </row>
    <row r="428" ht="14.25" customHeight="1">
      <c r="A428" s="41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1"/>
      <c r="X428" s="41"/>
    </row>
    <row r="429" ht="14.25" customHeight="1">
      <c r="A429" s="41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1"/>
      <c r="X429" s="41"/>
    </row>
    <row r="430" ht="14.25" customHeight="1">
      <c r="A430" s="41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1"/>
      <c r="X430" s="41"/>
    </row>
    <row r="431" ht="14.25" customHeight="1">
      <c r="A431" s="41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1"/>
      <c r="X431" s="41"/>
    </row>
    <row r="432" ht="14.25" customHeight="1">
      <c r="A432" s="41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1"/>
      <c r="X432" s="41"/>
    </row>
    <row r="433" ht="14.25" customHeight="1">
      <c r="A433" s="41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1"/>
      <c r="X433" s="41"/>
    </row>
    <row r="434" ht="14.25" customHeight="1">
      <c r="A434" s="41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1"/>
      <c r="X434" s="41"/>
    </row>
    <row r="435" ht="14.25" customHeight="1">
      <c r="A435" s="41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1"/>
      <c r="X435" s="41"/>
    </row>
    <row r="436" ht="14.25" customHeight="1">
      <c r="A436" s="41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1"/>
      <c r="X436" s="41"/>
    </row>
    <row r="437" ht="14.25" customHeight="1">
      <c r="A437" s="41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1"/>
      <c r="X437" s="41"/>
    </row>
    <row r="438" ht="14.25" customHeight="1">
      <c r="A438" s="41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1"/>
      <c r="X438" s="41"/>
    </row>
    <row r="439" ht="14.25" customHeight="1">
      <c r="A439" s="41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1"/>
      <c r="X439" s="41"/>
    </row>
    <row r="440" ht="14.25" customHeight="1">
      <c r="A440" s="41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1"/>
      <c r="X440" s="41"/>
    </row>
    <row r="441" ht="14.25" customHeight="1">
      <c r="A441" s="41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1"/>
      <c r="X441" s="41"/>
    </row>
    <row r="442" ht="14.25" customHeight="1">
      <c r="A442" s="41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1"/>
      <c r="X442" s="41"/>
    </row>
    <row r="443" ht="14.25" customHeight="1">
      <c r="A443" s="41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1"/>
      <c r="X443" s="41"/>
    </row>
    <row r="444" ht="14.25" customHeight="1">
      <c r="A444" s="41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1"/>
      <c r="X444" s="41"/>
    </row>
    <row r="445" ht="14.25" customHeight="1">
      <c r="A445" s="41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1"/>
      <c r="X445" s="41"/>
    </row>
    <row r="446" ht="14.25" customHeight="1">
      <c r="A446" s="41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1"/>
      <c r="X446" s="41"/>
    </row>
    <row r="447" ht="14.25" customHeight="1">
      <c r="A447" s="41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1"/>
      <c r="X447" s="41"/>
    </row>
    <row r="448" ht="14.25" customHeight="1">
      <c r="A448" s="41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1"/>
      <c r="X448" s="41"/>
    </row>
    <row r="449" ht="14.25" customHeight="1">
      <c r="A449" s="41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1"/>
      <c r="X449" s="41"/>
    </row>
    <row r="450" ht="14.25" customHeight="1">
      <c r="A450" s="41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1"/>
      <c r="X450" s="41"/>
    </row>
    <row r="451" ht="14.25" customHeight="1">
      <c r="A451" s="41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1"/>
      <c r="X451" s="41"/>
    </row>
    <row r="452" ht="14.25" customHeight="1">
      <c r="A452" s="41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1"/>
      <c r="X452" s="41"/>
    </row>
    <row r="453" ht="14.25" customHeight="1">
      <c r="A453" s="41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1"/>
      <c r="X453" s="41"/>
    </row>
    <row r="454" ht="14.25" customHeight="1">
      <c r="A454" s="41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1"/>
      <c r="X454" s="41"/>
    </row>
    <row r="455" ht="14.25" customHeight="1">
      <c r="A455" s="41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1"/>
      <c r="X455" s="41"/>
    </row>
    <row r="456" ht="14.25" customHeight="1">
      <c r="A456" s="41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1"/>
      <c r="X456" s="41"/>
    </row>
    <row r="457" ht="14.25" customHeight="1">
      <c r="A457" s="41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1"/>
      <c r="X457" s="41"/>
    </row>
    <row r="458" ht="14.25" customHeight="1">
      <c r="A458" s="41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1"/>
      <c r="X458" s="41"/>
    </row>
    <row r="459" ht="14.25" customHeight="1">
      <c r="A459" s="41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1"/>
      <c r="X459" s="41"/>
    </row>
    <row r="460" ht="14.25" customHeight="1">
      <c r="A460" s="41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1"/>
      <c r="X460" s="41"/>
    </row>
    <row r="461" ht="14.25" customHeight="1">
      <c r="A461" s="41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1"/>
      <c r="X461" s="41"/>
    </row>
    <row r="462" ht="14.25" customHeight="1">
      <c r="A462" s="41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1"/>
      <c r="X462" s="41"/>
    </row>
    <row r="463" ht="14.25" customHeight="1">
      <c r="A463" s="41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1"/>
      <c r="X463" s="41"/>
    </row>
    <row r="464" ht="14.25" customHeight="1">
      <c r="A464" s="41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1"/>
      <c r="X464" s="41"/>
    </row>
    <row r="465" ht="14.25" customHeight="1">
      <c r="A465" s="41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1"/>
      <c r="X465" s="41"/>
    </row>
    <row r="466" ht="14.25" customHeight="1">
      <c r="A466" s="41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1"/>
      <c r="X466" s="41"/>
    </row>
    <row r="467" ht="14.25" customHeight="1">
      <c r="A467" s="41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1"/>
      <c r="X467" s="41"/>
    </row>
    <row r="468" ht="14.25" customHeight="1">
      <c r="A468" s="41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1"/>
      <c r="X468" s="41"/>
    </row>
    <row r="469" ht="14.25" customHeight="1">
      <c r="A469" s="41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1"/>
      <c r="X469" s="41"/>
    </row>
    <row r="470" ht="14.25" customHeight="1">
      <c r="A470" s="41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1"/>
      <c r="X470" s="41"/>
    </row>
    <row r="471" ht="14.25" customHeight="1">
      <c r="A471" s="41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1"/>
      <c r="X471" s="41"/>
    </row>
    <row r="472" ht="14.25" customHeight="1">
      <c r="A472" s="41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1"/>
      <c r="X472" s="41"/>
    </row>
    <row r="473" ht="14.25" customHeight="1">
      <c r="A473" s="41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1"/>
      <c r="X473" s="41"/>
    </row>
    <row r="474" ht="14.25" customHeight="1">
      <c r="A474" s="41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1"/>
      <c r="X474" s="41"/>
    </row>
    <row r="475" ht="14.25" customHeight="1">
      <c r="A475" s="41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1"/>
      <c r="X475" s="41"/>
    </row>
    <row r="476" ht="14.25" customHeight="1">
      <c r="A476" s="41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1"/>
      <c r="X476" s="41"/>
    </row>
    <row r="477" ht="14.25" customHeight="1">
      <c r="A477" s="41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1"/>
      <c r="X477" s="41"/>
    </row>
    <row r="478" ht="14.25" customHeight="1">
      <c r="A478" s="41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1"/>
      <c r="X478" s="41"/>
    </row>
    <row r="479" ht="14.25" customHeight="1">
      <c r="A479" s="41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1"/>
      <c r="X479" s="41"/>
    </row>
    <row r="480" ht="14.25" customHeight="1">
      <c r="A480" s="41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1"/>
      <c r="X480" s="41"/>
    </row>
    <row r="481" ht="14.25" customHeight="1">
      <c r="A481" s="41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1"/>
      <c r="X481" s="41"/>
    </row>
    <row r="482" ht="14.25" customHeight="1">
      <c r="A482" s="41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1"/>
      <c r="X482" s="41"/>
    </row>
    <row r="483" ht="14.25" customHeight="1">
      <c r="A483" s="41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1"/>
      <c r="X483" s="41"/>
    </row>
    <row r="484" ht="14.25" customHeight="1">
      <c r="A484" s="41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1"/>
      <c r="X484" s="41"/>
    </row>
    <row r="485" ht="14.25" customHeight="1">
      <c r="A485" s="41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1"/>
      <c r="X485" s="41"/>
    </row>
    <row r="486" ht="14.25" customHeight="1">
      <c r="A486" s="41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1"/>
      <c r="X486" s="41"/>
    </row>
    <row r="487" ht="14.25" customHeight="1">
      <c r="A487" s="41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1"/>
      <c r="X487" s="41"/>
    </row>
    <row r="488" ht="14.25" customHeight="1">
      <c r="A488" s="41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1"/>
      <c r="X488" s="41"/>
    </row>
    <row r="489" ht="14.25" customHeight="1">
      <c r="A489" s="41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1"/>
      <c r="X489" s="41"/>
    </row>
    <row r="490" ht="14.25" customHeight="1">
      <c r="A490" s="41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1"/>
      <c r="X490" s="41"/>
    </row>
    <row r="491" ht="14.25" customHeight="1">
      <c r="A491" s="41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1"/>
      <c r="X491" s="41"/>
    </row>
    <row r="492" ht="14.25" customHeight="1">
      <c r="A492" s="41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1"/>
      <c r="X492" s="41"/>
    </row>
    <row r="493" ht="14.25" customHeight="1">
      <c r="A493" s="41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1"/>
      <c r="X493" s="41"/>
    </row>
    <row r="494" ht="14.25" customHeight="1">
      <c r="A494" s="41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1"/>
      <c r="X494" s="41"/>
    </row>
    <row r="495" ht="14.25" customHeight="1">
      <c r="A495" s="41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1"/>
      <c r="X495" s="41"/>
    </row>
    <row r="496" ht="14.25" customHeight="1">
      <c r="A496" s="41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1"/>
      <c r="X496" s="41"/>
    </row>
    <row r="497" ht="14.25" customHeight="1">
      <c r="A497" s="41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1"/>
      <c r="X497" s="41"/>
    </row>
    <row r="498" ht="14.25" customHeight="1">
      <c r="A498" s="41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1"/>
      <c r="X498" s="41"/>
    </row>
    <row r="499" ht="14.25" customHeight="1">
      <c r="A499" s="41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1"/>
      <c r="X499" s="41"/>
    </row>
    <row r="500" ht="14.25" customHeight="1">
      <c r="A500" s="41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1"/>
      <c r="X500" s="41"/>
    </row>
    <row r="501" ht="14.25" customHeight="1">
      <c r="A501" s="41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1"/>
      <c r="X501" s="41"/>
    </row>
    <row r="502" ht="14.25" customHeight="1">
      <c r="A502" s="41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1"/>
      <c r="X502" s="41"/>
    </row>
    <row r="503" ht="14.25" customHeight="1">
      <c r="A503" s="41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1"/>
      <c r="X503" s="41"/>
    </row>
    <row r="504" ht="14.25" customHeight="1">
      <c r="A504" s="41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1"/>
      <c r="X504" s="41"/>
    </row>
    <row r="505" ht="14.25" customHeight="1">
      <c r="A505" s="41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1"/>
      <c r="X505" s="41"/>
    </row>
    <row r="506" ht="14.25" customHeight="1">
      <c r="A506" s="41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1"/>
      <c r="X506" s="41"/>
    </row>
    <row r="507" ht="14.25" customHeight="1">
      <c r="A507" s="41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1"/>
      <c r="X507" s="41"/>
    </row>
    <row r="508" ht="14.25" customHeight="1">
      <c r="A508" s="41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1"/>
      <c r="X508" s="41"/>
    </row>
    <row r="509" ht="14.25" customHeight="1">
      <c r="A509" s="41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1"/>
      <c r="X509" s="41"/>
    </row>
    <row r="510" ht="14.25" customHeight="1">
      <c r="A510" s="41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1"/>
      <c r="X510" s="41"/>
    </row>
    <row r="511" ht="14.25" customHeight="1">
      <c r="A511" s="41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1"/>
      <c r="X511" s="41"/>
    </row>
    <row r="512" ht="14.25" customHeight="1">
      <c r="A512" s="41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1"/>
      <c r="X512" s="41"/>
    </row>
    <row r="513" ht="14.25" customHeight="1">
      <c r="A513" s="41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1"/>
      <c r="X513" s="41"/>
    </row>
    <row r="514" ht="14.25" customHeight="1">
      <c r="A514" s="41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1"/>
      <c r="X514" s="41"/>
    </row>
    <row r="515" ht="14.25" customHeight="1">
      <c r="A515" s="41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1"/>
      <c r="X515" s="41"/>
    </row>
    <row r="516" ht="14.25" customHeight="1">
      <c r="A516" s="41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1"/>
      <c r="X516" s="41"/>
    </row>
    <row r="517" ht="14.25" customHeight="1">
      <c r="A517" s="41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1"/>
      <c r="X517" s="41"/>
    </row>
    <row r="518" ht="14.25" customHeight="1">
      <c r="A518" s="41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1"/>
      <c r="X518" s="41"/>
    </row>
    <row r="519" ht="14.25" customHeight="1">
      <c r="A519" s="41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1"/>
      <c r="X519" s="41"/>
    </row>
    <row r="520" ht="14.25" customHeight="1">
      <c r="A520" s="41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1"/>
      <c r="X520" s="41"/>
    </row>
    <row r="521" ht="14.25" customHeight="1">
      <c r="A521" s="41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1"/>
      <c r="X521" s="41"/>
    </row>
    <row r="522" ht="14.25" customHeight="1">
      <c r="A522" s="41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1"/>
      <c r="X522" s="41"/>
    </row>
    <row r="523" ht="14.25" customHeight="1">
      <c r="A523" s="41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1"/>
      <c r="X523" s="41"/>
    </row>
    <row r="524" ht="14.25" customHeight="1">
      <c r="A524" s="41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1"/>
      <c r="X524" s="41"/>
    </row>
    <row r="525" ht="14.25" customHeight="1">
      <c r="A525" s="41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1"/>
      <c r="X525" s="41"/>
    </row>
    <row r="526" ht="14.25" customHeight="1">
      <c r="A526" s="41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1"/>
      <c r="X526" s="41"/>
    </row>
    <row r="527" ht="14.25" customHeight="1">
      <c r="A527" s="41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1"/>
      <c r="X527" s="41"/>
    </row>
    <row r="528" ht="14.25" customHeight="1">
      <c r="A528" s="41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1"/>
      <c r="X528" s="41"/>
    </row>
    <row r="529" ht="14.25" customHeight="1">
      <c r="A529" s="41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1"/>
      <c r="X529" s="41"/>
    </row>
    <row r="530" ht="14.25" customHeight="1">
      <c r="A530" s="41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1"/>
      <c r="X530" s="41"/>
    </row>
    <row r="531" ht="14.25" customHeight="1">
      <c r="A531" s="41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1"/>
      <c r="X531" s="41"/>
    </row>
    <row r="532" ht="14.25" customHeight="1">
      <c r="A532" s="41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1"/>
      <c r="X532" s="41"/>
    </row>
    <row r="533" ht="14.25" customHeight="1">
      <c r="A533" s="41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1"/>
      <c r="X533" s="41"/>
    </row>
    <row r="534" ht="14.25" customHeight="1">
      <c r="A534" s="41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1"/>
      <c r="X534" s="41"/>
    </row>
    <row r="535" ht="14.25" customHeight="1">
      <c r="A535" s="41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1"/>
      <c r="X535" s="41"/>
    </row>
    <row r="536" ht="14.25" customHeight="1">
      <c r="A536" s="41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1"/>
      <c r="X536" s="41"/>
    </row>
    <row r="537" ht="14.25" customHeight="1">
      <c r="A537" s="41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1"/>
      <c r="X537" s="41"/>
    </row>
    <row r="538" ht="14.25" customHeight="1">
      <c r="A538" s="41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1"/>
      <c r="X538" s="41"/>
    </row>
    <row r="539" ht="14.25" customHeight="1">
      <c r="A539" s="41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1"/>
      <c r="X539" s="41"/>
    </row>
    <row r="540" ht="14.25" customHeight="1">
      <c r="A540" s="41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1"/>
      <c r="X540" s="41"/>
    </row>
    <row r="541" ht="14.25" customHeight="1">
      <c r="A541" s="41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1"/>
      <c r="X541" s="41"/>
    </row>
    <row r="542" ht="14.25" customHeight="1">
      <c r="A542" s="41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1"/>
      <c r="X542" s="41"/>
    </row>
    <row r="543" ht="14.25" customHeight="1">
      <c r="A543" s="41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1"/>
      <c r="X543" s="41"/>
    </row>
    <row r="544" ht="14.25" customHeight="1">
      <c r="A544" s="41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1"/>
      <c r="X544" s="41"/>
    </row>
    <row r="545" ht="14.25" customHeight="1">
      <c r="A545" s="41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1"/>
      <c r="X545" s="41"/>
    </row>
    <row r="546" ht="14.25" customHeight="1">
      <c r="A546" s="41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1"/>
      <c r="X546" s="41"/>
    </row>
    <row r="547" ht="14.25" customHeight="1">
      <c r="A547" s="41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1"/>
      <c r="X547" s="41"/>
    </row>
    <row r="548" ht="14.25" customHeight="1">
      <c r="A548" s="41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1"/>
      <c r="X548" s="41"/>
    </row>
    <row r="549" ht="14.25" customHeight="1">
      <c r="A549" s="41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1"/>
      <c r="X549" s="41"/>
    </row>
    <row r="550" ht="14.25" customHeight="1">
      <c r="A550" s="41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1"/>
      <c r="X550" s="41"/>
    </row>
    <row r="551" ht="14.25" customHeight="1">
      <c r="A551" s="41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1"/>
      <c r="X551" s="41"/>
    </row>
    <row r="552" ht="14.25" customHeight="1">
      <c r="A552" s="41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1"/>
      <c r="X552" s="41"/>
    </row>
    <row r="553" ht="14.25" customHeight="1">
      <c r="A553" s="41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1"/>
      <c r="X553" s="41"/>
    </row>
    <row r="554" ht="14.25" customHeight="1">
      <c r="A554" s="41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1"/>
      <c r="X554" s="41"/>
    </row>
    <row r="555" ht="14.25" customHeight="1">
      <c r="A555" s="41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1"/>
      <c r="X555" s="41"/>
    </row>
    <row r="556" ht="14.25" customHeight="1">
      <c r="A556" s="41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1"/>
      <c r="X556" s="41"/>
    </row>
    <row r="557" ht="14.25" customHeight="1">
      <c r="A557" s="41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1"/>
      <c r="X557" s="41"/>
    </row>
    <row r="558" ht="14.25" customHeight="1">
      <c r="A558" s="41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1"/>
      <c r="X558" s="41"/>
    </row>
    <row r="559" ht="14.25" customHeight="1">
      <c r="A559" s="41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1"/>
      <c r="X559" s="41"/>
    </row>
    <row r="560" ht="14.25" customHeight="1">
      <c r="A560" s="41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1"/>
      <c r="X560" s="41"/>
    </row>
    <row r="561" ht="14.25" customHeight="1">
      <c r="A561" s="41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1"/>
      <c r="X561" s="41"/>
    </row>
    <row r="562" ht="14.25" customHeight="1">
      <c r="A562" s="41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1"/>
      <c r="X562" s="41"/>
    </row>
    <row r="563" ht="14.25" customHeight="1">
      <c r="A563" s="41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1"/>
      <c r="X563" s="41"/>
    </row>
    <row r="564" ht="14.25" customHeight="1">
      <c r="A564" s="41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1"/>
      <c r="X564" s="41"/>
    </row>
    <row r="565" ht="14.25" customHeight="1">
      <c r="A565" s="41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1"/>
      <c r="X565" s="41"/>
    </row>
    <row r="566" ht="14.25" customHeight="1">
      <c r="A566" s="41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1"/>
      <c r="X566" s="41"/>
    </row>
    <row r="567" ht="14.25" customHeight="1">
      <c r="A567" s="41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1"/>
      <c r="X567" s="41"/>
    </row>
    <row r="568" ht="14.25" customHeight="1">
      <c r="A568" s="41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1"/>
      <c r="X568" s="41"/>
    </row>
    <row r="569" ht="14.25" customHeight="1">
      <c r="A569" s="41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1"/>
      <c r="X569" s="41"/>
    </row>
    <row r="570" ht="14.25" customHeight="1">
      <c r="A570" s="41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1"/>
      <c r="X570" s="41"/>
    </row>
    <row r="571" ht="14.25" customHeight="1">
      <c r="A571" s="41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1"/>
      <c r="X571" s="41"/>
    </row>
    <row r="572" ht="14.25" customHeight="1">
      <c r="A572" s="41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1"/>
      <c r="X572" s="41"/>
    </row>
    <row r="573" ht="14.25" customHeight="1">
      <c r="A573" s="41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1"/>
      <c r="X573" s="41"/>
    </row>
    <row r="574" ht="14.25" customHeight="1">
      <c r="A574" s="41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1"/>
      <c r="X574" s="41"/>
    </row>
    <row r="575" ht="14.25" customHeight="1">
      <c r="A575" s="41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1"/>
      <c r="X575" s="41"/>
    </row>
    <row r="576" ht="14.25" customHeight="1">
      <c r="A576" s="41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1"/>
      <c r="X576" s="41"/>
    </row>
    <row r="577" ht="14.25" customHeight="1">
      <c r="A577" s="41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1"/>
      <c r="X577" s="41"/>
    </row>
    <row r="578" ht="14.25" customHeight="1">
      <c r="A578" s="41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1"/>
      <c r="X578" s="41"/>
    </row>
    <row r="579" ht="14.25" customHeight="1">
      <c r="A579" s="41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1"/>
      <c r="X579" s="41"/>
    </row>
    <row r="580" ht="14.25" customHeight="1">
      <c r="A580" s="41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1"/>
      <c r="X580" s="41"/>
    </row>
    <row r="581" ht="14.25" customHeight="1">
      <c r="A581" s="41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1"/>
      <c r="X581" s="41"/>
    </row>
    <row r="582" ht="14.25" customHeight="1">
      <c r="A582" s="41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1"/>
      <c r="X582" s="41"/>
    </row>
    <row r="583" ht="14.25" customHeight="1">
      <c r="A583" s="41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1"/>
      <c r="X583" s="41"/>
    </row>
    <row r="584" ht="14.25" customHeight="1">
      <c r="A584" s="41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1"/>
      <c r="X584" s="41"/>
    </row>
    <row r="585" ht="14.25" customHeight="1">
      <c r="A585" s="41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1"/>
      <c r="X585" s="41"/>
    </row>
    <row r="586" ht="14.25" customHeight="1">
      <c r="A586" s="41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1"/>
      <c r="X586" s="41"/>
    </row>
    <row r="587" ht="14.25" customHeight="1">
      <c r="A587" s="41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1"/>
      <c r="X587" s="41"/>
    </row>
    <row r="588" ht="14.25" customHeight="1">
      <c r="A588" s="41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1"/>
      <c r="X588" s="41"/>
    </row>
    <row r="589" ht="14.25" customHeight="1">
      <c r="A589" s="41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1"/>
      <c r="X589" s="41"/>
    </row>
    <row r="590" ht="14.25" customHeight="1">
      <c r="A590" s="41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1"/>
      <c r="X590" s="41"/>
    </row>
    <row r="591" ht="14.25" customHeight="1">
      <c r="A591" s="41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1"/>
      <c r="X591" s="41"/>
    </row>
    <row r="592" ht="14.25" customHeight="1">
      <c r="A592" s="41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1"/>
      <c r="X592" s="41"/>
    </row>
    <row r="593" ht="14.25" customHeight="1">
      <c r="A593" s="41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1"/>
      <c r="X593" s="41"/>
    </row>
    <row r="594" ht="14.25" customHeight="1">
      <c r="A594" s="41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1"/>
      <c r="X594" s="41"/>
    </row>
    <row r="595" ht="14.25" customHeight="1">
      <c r="A595" s="41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1"/>
      <c r="X595" s="41"/>
    </row>
    <row r="596" ht="14.25" customHeight="1">
      <c r="A596" s="41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1"/>
      <c r="X596" s="41"/>
    </row>
    <row r="597" ht="14.25" customHeight="1">
      <c r="A597" s="41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1"/>
      <c r="X597" s="41"/>
    </row>
    <row r="598" ht="14.25" customHeight="1">
      <c r="A598" s="41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1"/>
      <c r="X598" s="41"/>
    </row>
    <row r="599" ht="14.25" customHeight="1">
      <c r="A599" s="41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1"/>
      <c r="X599" s="41"/>
    </row>
    <row r="600" ht="14.25" customHeight="1">
      <c r="A600" s="41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1"/>
      <c r="X600" s="41"/>
    </row>
    <row r="601" ht="14.25" customHeight="1">
      <c r="A601" s="41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1"/>
      <c r="X601" s="41"/>
    </row>
    <row r="602" ht="14.25" customHeight="1">
      <c r="A602" s="41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1"/>
      <c r="X602" s="41"/>
    </row>
    <row r="603" ht="14.25" customHeight="1">
      <c r="A603" s="41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1"/>
      <c r="X603" s="41"/>
    </row>
    <row r="604" ht="14.25" customHeight="1">
      <c r="A604" s="41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1"/>
      <c r="X604" s="41"/>
    </row>
    <row r="605" ht="14.25" customHeight="1">
      <c r="A605" s="41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1"/>
      <c r="X605" s="41"/>
    </row>
    <row r="606" ht="14.25" customHeight="1">
      <c r="A606" s="41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1"/>
      <c r="X606" s="41"/>
    </row>
    <row r="607" ht="14.25" customHeight="1">
      <c r="A607" s="41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1"/>
      <c r="X607" s="41"/>
    </row>
    <row r="608" ht="14.25" customHeight="1">
      <c r="A608" s="41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1"/>
      <c r="X608" s="41"/>
    </row>
    <row r="609" ht="14.25" customHeight="1">
      <c r="A609" s="41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1"/>
      <c r="X609" s="41"/>
    </row>
    <row r="610" ht="14.25" customHeight="1">
      <c r="A610" s="41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1"/>
      <c r="X610" s="41"/>
    </row>
    <row r="611" ht="14.25" customHeight="1">
      <c r="A611" s="41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1"/>
      <c r="X611" s="41"/>
    </row>
    <row r="612" ht="14.25" customHeight="1">
      <c r="A612" s="41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1"/>
      <c r="X612" s="41"/>
    </row>
    <row r="613" ht="14.25" customHeight="1">
      <c r="A613" s="41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1"/>
      <c r="X613" s="41"/>
    </row>
    <row r="614" ht="14.25" customHeight="1">
      <c r="A614" s="41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1"/>
      <c r="X614" s="41"/>
    </row>
    <row r="615" ht="14.25" customHeight="1">
      <c r="A615" s="41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1"/>
      <c r="X615" s="41"/>
    </row>
    <row r="616" ht="14.25" customHeight="1">
      <c r="A616" s="41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1"/>
      <c r="X616" s="41"/>
    </row>
    <row r="617" ht="14.25" customHeight="1">
      <c r="A617" s="41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1"/>
      <c r="X617" s="41"/>
    </row>
    <row r="618" ht="14.25" customHeight="1">
      <c r="A618" s="41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1"/>
      <c r="X618" s="41"/>
    </row>
    <row r="619" ht="14.25" customHeight="1">
      <c r="A619" s="41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1"/>
      <c r="X619" s="41"/>
    </row>
    <row r="620" ht="14.25" customHeight="1">
      <c r="A620" s="41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1"/>
      <c r="X620" s="41"/>
    </row>
    <row r="621" ht="14.25" customHeight="1">
      <c r="A621" s="41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1"/>
      <c r="X621" s="41"/>
    </row>
    <row r="622" ht="14.25" customHeight="1">
      <c r="A622" s="41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1"/>
      <c r="X622" s="41"/>
    </row>
    <row r="623" ht="14.25" customHeight="1">
      <c r="A623" s="41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1"/>
      <c r="X623" s="41"/>
    </row>
    <row r="624" ht="14.25" customHeight="1">
      <c r="A624" s="41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1"/>
      <c r="X624" s="41"/>
    </row>
    <row r="625" ht="14.25" customHeight="1">
      <c r="A625" s="41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1"/>
      <c r="X625" s="41"/>
    </row>
    <row r="626" ht="14.25" customHeight="1">
      <c r="A626" s="41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1"/>
      <c r="X626" s="41"/>
    </row>
    <row r="627" ht="14.25" customHeight="1">
      <c r="A627" s="41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1"/>
      <c r="X627" s="41"/>
    </row>
    <row r="628" ht="14.25" customHeight="1">
      <c r="A628" s="41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1"/>
      <c r="X628" s="41"/>
    </row>
    <row r="629" ht="14.25" customHeight="1">
      <c r="A629" s="41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1"/>
      <c r="X629" s="41"/>
    </row>
    <row r="630" ht="14.25" customHeight="1">
      <c r="A630" s="41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1"/>
      <c r="X630" s="41"/>
    </row>
    <row r="631" ht="14.25" customHeight="1">
      <c r="A631" s="41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1"/>
      <c r="X631" s="41"/>
    </row>
    <row r="632" ht="14.25" customHeight="1">
      <c r="A632" s="41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1"/>
      <c r="X632" s="41"/>
    </row>
    <row r="633" ht="14.25" customHeight="1">
      <c r="A633" s="41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1"/>
      <c r="X633" s="41"/>
    </row>
    <row r="634" ht="14.25" customHeight="1">
      <c r="A634" s="41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1"/>
      <c r="X634" s="41"/>
    </row>
    <row r="635" ht="14.25" customHeight="1">
      <c r="A635" s="41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1"/>
      <c r="X635" s="41"/>
    </row>
    <row r="636" ht="14.25" customHeight="1">
      <c r="A636" s="41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1"/>
      <c r="X636" s="41"/>
    </row>
    <row r="637" ht="14.25" customHeight="1">
      <c r="A637" s="41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1"/>
      <c r="X637" s="41"/>
    </row>
    <row r="638" ht="14.25" customHeight="1">
      <c r="A638" s="41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1"/>
      <c r="X638" s="41"/>
    </row>
    <row r="639" ht="14.25" customHeight="1">
      <c r="A639" s="41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1"/>
      <c r="X639" s="41"/>
    </row>
    <row r="640" ht="14.25" customHeight="1">
      <c r="A640" s="41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1"/>
      <c r="X640" s="41"/>
    </row>
    <row r="641" ht="14.25" customHeight="1">
      <c r="A641" s="41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1"/>
      <c r="X641" s="41"/>
    </row>
    <row r="642" ht="14.25" customHeight="1">
      <c r="A642" s="41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1"/>
      <c r="X642" s="41"/>
    </row>
    <row r="643" ht="14.25" customHeight="1">
      <c r="A643" s="41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1"/>
      <c r="X643" s="41"/>
    </row>
    <row r="644" ht="14.25" customHeight="1">
      <c r="A644" s="41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1"/>
      <c r="X644" s="41"/>
    </row>
    <row r="645" ht="14.25" customHeight="1">
      <c r="A645" s="41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1"/>
      <c r="X645" s="41"/>
    </row>
    <row r="646" ht="14.25" customHeight="1">
      <c r="A646" s="41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1"/>
      <c r="X646" s="41"/>
    </row>
    <row r="647" ht="14.25" customHeight="1">
      <c r="A647" s="41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1"/>
      <c r="X647" s="41"/>
    </row>
    <row r="648" ht="14.25" customHeight="1">
      <c r="A648" s="41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1"/>
      <c r="X648" s="41"/>
    </row>
    <row r="649" ht="14.25" customHeight="1">
      <c r="A649" s="41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1"/>
      <c r="X649" s="41"/>
    </row>
    <row r="650" ht="14.25" customHeight="1">
      <c r="A650" s="41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1"/>
      <c r="X650" s="41"/>
    </row>
    <row r="651" ht="14.25" customHeight="1">
      <c r="A651" s="41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1"/>
      <c r="X651" s="41"/>
    </row>
    <row r="652" ht="14.25" customHeight="1">
      <c r="A652" s="41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1"/>
      <c r="X652" s="41"/>
    </row>
    <row r="653" ht="14.25" customHeight="1">
      <c r="A653" s="41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1"/>
      <c r="X653" s="41"/>
    </row>
    <row r="654" ht="14.25" customHeight="1">
      <c r="A654" s="41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1"/>
      <c r="X654" s="41"/>
    </row>
    <row r="655" ht="14.25" customHeight="1">
      <c r="A655" s="41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1"/>
      <c r="X655" s="41"/>
    </row>
    <row r="656" ht="14.25" customHeight="1">
      <c r="A656" s="41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1"/>
      <c r="X656" s="41"/>
    </row>
    <row r="657" ht="14.25" customHeight="1">
      <c r="A657" s="41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1"/>
      <c r="X657" s="41"/>
    </row>
    <row r="658" ht="14.25" customHeight="1">
      <c r="A658" s="41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1"/>
      <c r="X658" s="41"/>
    </row>
    <row r="659" ht="14.25" customHeight="1">
      <c r="A659" s="41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1"/>
      <c r="X659" s="41"/>
    </row>
    <row r="660" ht="14.25" customHeight="1">
      <c r="A660" s="41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1"/>
      <c r="X660" s="41"/>
    </row>
    <row r="661" ht="14.25" customHeight="1">
      <c r="A661" s="41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1"/>
      <c r="X661" s="41"/>
    </row>
    <row r="662" ht="14.25" customHeight="1">
      <c r="A662" s="41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1"/>
      <c r="X662" s="41"/>
    </row>
    <row r="663" ht="14.25" customHeight="1">
      <c r="A663" s="41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1"/>
      <c r="X663" s="41"/>
    </row>
    <row r="664" ht="14.25" customHeight="1">
      <c r="A664" s="41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1"/>
      <c r="X664" s="41"/>
    </row>
    <row r="665" ht="14.25" customHeight="1">
      <c r="A665" s="41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1"/>
      <c r="X665" s="41"/>
    </row>
    <row r="666" ht="14.25" customHeight="1">
      <c r="A666" s="41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1"/>
      <c r="X666" s="41"/>
    </row>
    <row r="667" ht="14.25" customHeight="1">
      <c r="A667" s="41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1"/>
      <c r="X667" s="41"/>
    </row>
    <row r="668" ht="14.25" customHeight="1">
      <c r="A668" s="41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1"/>
      <c r="X668" s="41"/>
    </row>
    <row r="669" ht="14.25" customHeight="1">
      <c r="A669" s="41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1"/>
      <c r="X669" s="41"/>
    </row>
    <row r="670" ht="14.25" customHeight="1">
      <c r="A670" s="41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1"/>
      <c r="X670" s="41"/>
    </row>
    <row r="671" ht="14.25" customHeight="1">
      <c r="A671" s="41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1"/>
      <c r="X671" s="41"/>
    </row>
    <row r="672" ht="14.25" customHeight="1">
      <c r="A672" s="41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1"/>
      <c r="X672" s="41"/>
    </row>
    <row r="673" ht="14.25" customHeight="1">
      <c r="A673" s="41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1"/>
      <c r="X673" s="41"/>
    </row>
    <row r="674" ht="14.25" customHeight="1">
      <c r="A674" s="41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1"/>
      <c r="X674" s="41"/>
    </row>
    <row r="675" ht="14.25" customHeight="1">
      <c r="A675" s="41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1"/>
      <c r="X675" s="41"/>
    </row>
    <row r="676" ht="14.25" customHeight="1">
      <c r="A676" s="41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1"/>
      <c r="X676" s="41"/>
    </row>
    <row r="677" ht="14.25" customHeight="1">
      <c r="A677" s="41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1"/>
      <c r="X677" s="41"/>
    </row>
    <row r="678" ht="14.25" customHeight="1">
      <c r="A678" s="41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1"/>
      <c r="X678" s="41"/>
    </row>
    <row r="679" ht="14.25" customHeight="1">
      <c r="A679" s="41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1"/>
      <c r="X679" s="41"/>
    </row>
    <row r="680" ht="14.25" customHeight="1">
      <c r="A680" s="41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1"/>
      <c r="X680" s="41"/>
    </row>
    <row r="681" ht="14.25" customHeight="1">
      <c r="A681" s="41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1"/>
      <c r="X681" s="41"/>
    </row>
    <row r="682" ht="14.25" customHeight="1">
      <c r="A682" s="41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1"/>
      <c r="X682" s="41"/>
    </row>
    <row r="683" ht="14.25" customHeight="1">
      <c r="A683" s="41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1"/>
      <c r="X683" s="41"/>
    </row>
    <row r="684" ht="14.25" customHeight="1">
      <c r="A684" s="41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1"/>
      <c r="X684" s="41"/>
    </row>
    <row r="685" ht="14.25" customHeight="1">
      <c r="A685" s="41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1"/>
      <c r="X685" s="41"/>
    </row>
    <row r="686" ht="14.25" customHeight="1">
      <c r="A686" s="41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1"/>
      <c r="X686" s="41"/>
    </row>
    <row r="687" ht="14.25" customHeight="1">
      <c r="A687" s="41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1"/>
      <c r="X687" s="41"/>
    </row>
    <row r="688" ht="14.25" customHeight="1">
      <c r="A688" s="41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1"/>
      <c r="X688" s="41"/>
    </row>
    <row r="689" ht="14.25" customHeight="1">
      <c r="A689" s="41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1"/>
      <c r="X689" s="41"/>
    </row>
    <row r="690" ht="14.25" customHeight="1">
      <c r="A690" s="41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1"/>
      <c r="X690" s="41"/>
    </row>
    <row r="691" ht="14.25" customHeight="1">
      <c r="A691" s="41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1"/>
      <c r="X691" s="41"/>
    </row>
    <row r="692" ht="14.25" customHeight="1">
      <c r="A692" s="41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1"/>
      <c r="X692" s="41"/>
    </row>
    <row r="693" ht="14.25" customHeight="1">
      <c r="A693" s="41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1"/>
      <c r="X693" s="41"/>
    </row>
    <row r="694" ht="14.25" customHeight="1">
      <c r="A694" s="41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1"/>
      <c r="X694" s="41"/>
    </row>
    <row r="695" ht="14.25" customHeight="1">
      <c r="A695" s="41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1"/>
      <c r="X695" s="41"/>
    </row>
    <row r="696" ht="14.25" customHeight="1">
      <c r="A696" s="41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1"/>
      <c r="X696" s="41"/>
    </row>
    <row r="697" ht="14.25" customHeight="1">
      <c r="A697" s="41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1"/>
      <c r="X697" s="41"/>
    </row>
    <row r="698" ht="14.25" customHeight="1">
      <c r="A698" s="41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1"/>
      <c r="X698" s="41"/>
    </row>
    <row r="699" ht="14.25" customHeight="1">
      <c r="A699" s="41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1"/>
      <c r="X699" s="41"/>
    </row>
    <row r="700" ht="14.25" customHeight="1">
      <c r="A700" s="41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1"/>
      <c r="X700" s="41"/>
    </row>
    <row r="701" ht="14.25" customHeight="1">
      <c r="A701" s="41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1"/>
      <c r="X701" s="41"/>
    </row>
    <row r="702" ht="14.25" customHeight="1">
      <c r="A702" s="41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1"/>
      <c r="X702" s="41"/>
    </row>
    <row r="703" ht="14.25" customHeight="1">
      <c r="A703" s="41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1"/>
      <c r="X703" s="41"/>
    </row>
    <row r="704" ht="14.25" customHeight="1">
      <c r="A704" s="41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1"/>
      <c r="X704" s="41"/>
    </row>
    <row r="705" ht="14.25" customHeight="1">
      <c r="A705" s="41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1"/>
      <c r="X705" s="41"/>
    </row>
    <row r="706" ht="14.25" customHeight="1">
      <c r="A706" s="41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1"/>
      <c r="X706" s="41"/>
    </row>
    <row r="707" ht="14.25" customHeight="1">
      <c r="A707" s="41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1"/>
      <c r="X707" s="41"/>
    </row>
    <row r="708" ht="14.25" customHeight="1">
      <c r="A708" s="41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1"/>
      <c r="X708" s="41"/>
    </row>
    <row r="709" ht="14.25" customHeight="1">
      <c r="A709" s="41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1"/>
      <c r="X709" s="41"/>
    </row>
    <row r="710" ht="14.25" customHeight="1">
      <c r="A710" s="41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1"/>
      <c r="X710" s="41"/>
    </row>
    <row r="711" ht="14.25" customHeight="1">
      <c r="A711" s="41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1"/>
      <c r="X711" s="41"/>
    </row>
    <row r="712" ht="14.25" customHeight="1">
      <c r="A712" s="41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1"/>
      <c r="X712" s="41"/>
    </row>
    <row r="713" ht="14.25" customHeight="1">
      <c r="A713" s="41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1"/>
      <c r="X713" s="41"/>
    </row>
    <row r="714" ht="14.25" customHeight="1">
      <c r="A714" s="41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1"/>
      <c r="X714" s="41"/>
    </row>
    <row r="715" ht="14.25" customHeight="1">
      <c r="A715" s="41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1"/>
      <c r="X715" s="41"/>
    </row>
    <row r="716" ht="14.25" customHeight="1">
      <c r="A716" s="41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1"/>
      <c r="X716" s="41"/>
    </row>
    <row r="717" ht="14.25" customHeight="1">
      <c r="A717" s="41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1"/>
      <c r="X717" s="41"/>
    </row>
    <row r="718" ht="14.25" customHeight="1">
      <c r="A718" s="41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1"/>
      <c r="X718" s="41"/>
    </row>
    <row r="719" ht="14.25" customHeight="1">
      <c r="A719" s="41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1"/>
      <c r="X719" s="41"/>
    </row>
    <row r="720" ht="14.25" customHeight="1">
      <c r="A720" s="41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1"/>
      <c r="X720" s="41"/>
    </row>
    <row r="721" ht="14.25" customHeight="1">
      <c r="A721" s="41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1"/>
      <c r="X721" s="41"/>
    </row>
    <row r="722" ht="14.25" customHeight="1">
      <c r="A722" s="41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1"/>
      <c r="X722" s="41"/>
    </row>
    <row r="723" ht="14.25" customHeight="1">
      <c r="A723" s="41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1"/>
      <c r="X723" s="41"/>
    </row>
    <row r="724" ht="14.25" customHeight="1">
      <c r="A724" s="41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1"/>
      <c r="X724" s="41"/>
    </row>
    <row r="725" ht="14.25" customHeight="1">
      <c r="A725" s="41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1"/>
      <c r="X725" s="41"/>
    </row>
    <row r="726" ht="14.25" customHeight="1">
      <c r="A726" s="41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1"/>
      <c r="X726" s="41"/>
    </row>
    <row r="727" ht="14.25" customHeight="1">
      <c r="A727" s="41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1"/>
      <c r="X727" s="41"/>
    </row>
    <row r="728" ht="14.25" customHeight="1">
      <c r="A728" s="41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1"/>
      <c r="X728" s="41"/>
    </row>
    <row r="729" ht="14.25" customHeight="1">
      <c r="A729" s="41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1"/>
      <c r="X729" s="41"/>
    </row>
    <row r="730" ht="14.25" customHeight="1">
      <c r="A730" s="41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1"/>
      <c r="X730" s="41"/>
    </row>
    <row r="731" ht="14.25" customHeight="1">
      <c r="A731" s="41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1"/>
      <c r="X731" s="41"/>
    </row>
    <row r="732" ht="14.25" customHeight="1">
      <c r="A732" s="41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1"/>
      <c r="X732" s="41"/>
    </row>
    <row r="733" ht="14.25" customHeight="1">
      <c r="A733" s="41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1"/>
      <c r="X733" s="41"/>
    </row>
    <row r="734" ht="14.25" customHeight="1">
      <c r="A734" s="41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1"/>
      <c r="X734" s="41"/>
    </row>
    <row r="735" ht="14.25" customHeight="1">
      <c r="A735" s="41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1"/>
      <c r="X735" s="41"/>
    </row>
    <row r="736" ht="14.25" customHeight="1">
      <c r="A736" s="41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1"/>
      <c r="X736" s="41"/>
    </row>
    <row r="737" ht="14.25" customHeight="1">
      <c r="A737" s="41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1"/>
      <c r="X737" s="41"/>
    </row>
    <row r="738" ht="14.25" customHeight="1">
      <c r="A738" s="41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1"/>
      <c r="X738" s="41"/>
    </row>
    <row r="739" ht="14.25" customHeight="1">
      <c r="A739" s="41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1"/>
      <c r="X739" s="41"/>
    </row>
    <row r="740" ht="14.25" customHeight="1">
      <c r="A740" s="41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1"/>
      <c r="X740" s="41"/>
    </row>
    <row r="741" ht="14.25" customHeight="1">
      <c r="A741" s="41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1"/>
      <c r="X741" s="41"/>
    </row>
    <row r="742" ht="14.25" customHeight="1">
      <c r="A742" s="41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1"/>
      <c r="X742" s="41"/>
    </row>
    <row r="743" ht="14.25" customHeight="1">
      <c r="A743" s="41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1"/>
      <c r="X743" s="41"/>
    </row>
    <row r="744" ht="14.25" customHeight="1">
      <c r="A744" s="41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1"/>
      <c r="X744" s="41"/>
    </row>
    <row r="745" ht="14.25" customHeight="1">
      <c r="A745" s="41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1"/>
      <c r="X745" s="41"/>
    </row>
    <row r="746" ht="14.25" customHeight="1">
      <c r="A746" s="41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1"/>
      <c r="X746" s="41"/>
    </row>
    <row r="747" ht="14.25" customHeight="1">
      <c r="A747" s="41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1"/>
      <c r="X747" s="41"/>
    </row>
    <row r="748" ht="14.25" customHeight="1">
      <c r="A748" s="41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1"/>
      <c r="X748" s="41"/>
    </row>
    <row r="749" ht="14.25" customHeight="1">
      <c r="A749" s="41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1"/>
      <c r="X749" s="41"/>
    </row>
    <row r="750" ht="14.25" customHeight="1">
      <c r="A750" s="41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1"/>
      <c r="X750" s="41"/>
    </row>
    <row r="751" ht="14.25" customHeight="1">
      <c r="A751" s="41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1"/>
      <c r="X751" s="41"/>
    </row>
    <row r="752" ht="14.25" customHeight="1">
      <c r="A752" s="41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1"/>
      <c r="X752" s="41"/>
    </row>
    <row r="753" ht="14.25" customHeight="1">
      <c r="A753" s="41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1"/>
      <c r="X753" s="41"/>
    </row>
    <row r="754" ht="14.25" customHeight="1">
      <c r="A754" s="41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1"/>
      <c r="X754" s="41"/>
    </row>
    <row r="755" ht="14.25" customHeight="1">
      <c r="A755" s="41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1"/>
      <c r="X755" s="41"/>
    </row>
    <row r="756" ht="14.25" customHeight="1">
      <c r="A756" s="41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1"/>
      <c r="X756" s="41"/>
    </row>
    <row r="757" ht="14.25" customHeight="1">
      <c r="A757" s="41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1"/>
      <c r="X757" s="41"/>
    </row>
    <row r="758" ht="14.25" customHeight="1">
      <c r="A758" s="41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1"/>
      <c r="X758" s="41"/>
    </row>
    <row r="759" ht="14.25" customHeight="1">
      <c r="A759" s="41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1"/>
      <c r="X759" s="41"/>
    </row>
    <row r="760" ht="14.25" customHeight="1">
      <c r="A760" s="41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1"/>
      <c r="X760" s="41"/>
    </row>
    <row r="761" ht="14.25" customHeight="1">
      <c r="A761" s="41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1"/>
      <c r="X761" s="41"/>
    </row>
    <row r="762" ht="14.25" customHeight="1">
      <c r="A762" s="41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1"/>
      <c r="X762" s="41"/>
    </row>
    <row r="763" ht="14.25" customHeight="1">
      <c r="A763" s="41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1"/>
      <c r="X763" s="41"/>
    </row>
    <row r="764" ht="14.25" customHeight="1">
      <c r="A764" s="41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1"/>
      <c r="X764" s="41"/>
    </row>
    <row r="765" ht="14.25" customHeight="1">
      <c r="A765" s="41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1"/>
      <c r="X765" s="41"/>
    </row>
    <row r="766" ht="14.25" customHeight="1">
      <c r="A766" s="41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1"/>
      <c r="X766" s="41"/>
    </row>
    <row r="767" ht="14.25" customHeight="1">
      <c r="A767" s="41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1"/>
      <c r="X767" s="41"/>
    </row>
    <row r="768" ht="14.25" customHeight="1">
      <c r="A768" s="41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1"/>
      <c r="X768" s="41"/>
    </row>
    <row r="769" ht="14.25" customHeight="1">
      <c r="A769" s="41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1"/>
      <c r="X769" s="41"/>
    </row>
    <row r="770" ht="14.25" customHeight="1">
      <c r="A770" s="41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1"/>
      <c r="X770" s="41"/>
    </row>
    <row r="771" ht="14.25" customHeight="1">
      <c r="A771" s="41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1"/>
      <c r="X771" s="41"/>
    </row>
    <row r="772" ht="14.25" customHeight="1">
      <c r="A772" s="41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1"/>
      <c r="X772" s="41"/>
    </row>
    <row r="773" ht="14.25" customHeight="1">
      <c r="A773" s="41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1"/>
      <c r="X773" s="41"/>
    </row>
    <row r="774" ht="14.25" customHeight="1">
      <c r="A774" s="41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1"/>
      <c r="X774" s="41"/>
    </row>
    <row r="775" ht="14.25" customHeight="1">
      <c r="A775" s="41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1"/>
      <c r="X775" s="41"/>
    </row>
    <row r="776" ht="14.25" customHeight="1">
      <c r="A776" s="41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1"/>
      <c r="X776" s="41"/>
    </row>
    <row r="777" ht="14.25" customHeight="1">
      <c r="A777" s="41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1"/>
      <c r="X777" s="41"/>
    </row>
    <row r="778" ht="14.25" customHeight="1">
      <c r="A778" s="41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1"/>
      <c r="X778" s="41"/>
    </row>
    <row r="779" ht="14.25" customHeight="1">
      <c r="A779" s="41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1"/>
      <c r="X779" s="41"/>
    </row>
    <row r="780" ht="14.25" customHeight="1">
      <c r="A780" s="41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1"/>
      <c r="X780" s="41"/>
    </row>
    <row r="781" ht="14.25" customHeight="1">
      <c r="A781" s="41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1"/>
      <c r="X781" s="41"/>
    </row>
    <row r="782" ht="14.25" customHeight="1">
      <c r="A782" s="41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1"/>
      <c r="X782" s="41"/>
    </row>
    <row r="783" ht="14.25" customHeight="1">
      <c r="A783" s="41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1"/>
      <c r="X783" s="41"/>
    </row>
    <row r="784" ht="14.25" customHeight="1">
      <c r="A784" s="41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1"/>
      <c r="X784" s="41"/>
    </row>
    <row r="785" ht="14.25" customHeight="1">
      <c r="A785" s="41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1"/>
      <c r="X785" s="41"/>
    </row>
    <row r="786" ht="14.25" customHeight="1">
      <c r="A786" s="41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1"/>
      <c r="X786" s="41"/>
    </row>
    <row r="787" ht="14.25" customHeight="1">
      <c r="A787" s="41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1"/>
      <c r="X787" s="41"/>
    </row>
    <row r="788" ht="14.25" customHeight="1">
      <c r="A788" s="41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1"/>
      <c r="X788" s="41"/>
    </row>
    <row r="789" ht="14.25" customHeight="1">
      <c r="A789" s="41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1"/>
      <c r="X789" s="41"/>
    </row>
    <row r="790" ht="14.25" customHeight="1">
      <c r="A790" s="41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1"/>
      <c r="X790" s="41"/>
    </row>
    <row r="791" ht="14.25" customHeight="1">
      <c r="A791" s="41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1"/>
      <c r="X791" s="41"/>
    </row>
    <row r="792" ht="14.25" customHeight="1">
      <c r="A792" s="41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1"/>
      <c r="X792" s="41"/>
    </row>
    <row r="793" ht="14.25" customHeight="1">
      <c r="A793" s="41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1"/>
      <c r="X793" s="41"/>
    </row>
    <row r="794" ht="14.25" customHeight="1">
      <c r="A794" s="41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1"/>
      <c r="X794" s="41"/>
    </row>
    <row r="795" ht="14.25" customHeight="1">
      <c r="A795" s="41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1"/>
      <c r="X795" s="41"/>
    </row>
    <row r="796" ht="14.25" customHeight="1">
      <c r="A796" s="41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1"/>
      <c r="X796" s="41"/>
    </row>
    <row r="797" ht="14.25" customHeight="1">
      <c r="A797" s="41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1"/>
      <c r="X797" s="41"/>
    </row>
    <row r="798" ht="14.25" customHeight="1">
      <c r="A798" s="41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1"/>
      <c r="X798" s="41"/>
    </row>
    <row r="799" ht="14.25" customHeight="1">
      <c r="A799" s="41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1"/>
      <c r="X799" s="41"/>
    </row>
    <row r="800" ht="14.25" customHeight="1">
      <c r="A800" s="41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1"/>
      <c r="X800" s="41"/>
    </row>
    <row r="801" ht="14.25" customHeight="1">
      <c r="A801" s="41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1"/>
      <c r="X801" s="41"/>
    </row>
    <row r="802" ht="14.25" customHeight="1">
      <c r="A802" s="41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1"/>
      <c r="X802" s="41"/>
    </row>
    <row r="803" ht="14.25" customHeight="1">
      <c r="A803" s="41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1"/>
      <c r="X803" s="41"/>
    </row>
    <row r="804" ht="14.25" customHeight="1">
      <c r="A804" s="41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1"/>
      <c r="X804" s="41"/>
    </row>
    <row r="805" ht="14.25" customHeight="1">
      <c r="A805" s="41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1"/>
      <c r="X805" s="41"/>
    </row>
    <row r="806" ht="14.25" customHeight="1">
      <c r="A806" s="41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1"/>
      <c r="X806" s="41"/>
    </row>
    <row r="807" ht="14.25" customHeight="1">
      <c r="A807" s="41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1"/>
      <c r="X807" s="41"/>
    </row>
    <row r="808" ht="14.25" customHeight="1">
      <c r="A808" s="41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1"/>
      <c r="X808" s="41"/>
    </row>
    <row r="809" ht="14.25" customHeight="1">
      <c r="A809" s="41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1"/>
      <c r="X809" s="41"/>
    </row>
    <row r="810" ht="14.25" customHeight="1">
      <c r="A810" s="41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1"/>
      <c r="X810" s="41"/>
    </row>
    <row r="811" ht="14.25" customHeight="1">
      <c r="A811" s="41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1"/>
      <c r="X811" s="41"/>
    </row>
    <row r="812" ht="14.25" customHeight="1">
      <c r="A812" s="41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1"/>
      <c r="X812" s="41"/>
    </row>
    <row r="813" ht="14.25" customHeight="1">
      <c r="A813" s="41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1"/>
      <c r="X813" s="41"/>
    </row>
    <row r="814" ht="14.25" customHeight="1">
      <c r="A814" s="41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1"/>
      <c r="X814" s="41"/>
    </row>
    <row r="815" ht="14.25" customHeight="1">
      <c r="A815" s="41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1"/>
      <c r="X815" s="41"/>
    </row>
    <row r="816" ht="14.25" customHeight="1">
      <c r="A816" s="41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1"/>
      <c r="X816" s="41"/>
    </row>
    <row r="817" ht="14.25" customHeight="1">
      <c r="A817" s="41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1"/>
      <c r="X817" s="41"/>
    </row>
    <row r="818" ht="14.25" customHeight="1">
      <c r="A818" s="41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1"/>
      <c r="X818" s="41"/>
    </row>
    <row r="819" ht="14.25" customHeight="1">
      <c r="A819" s="41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1"/>
      <c r="X819" s="41"/>
    </row>
    <row r="820" ht="14.25" customHeight="1">
      <c r="A820" s="41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1"/>
      <c r="X820" s="41"/>
    </row>
    <row r="821" ht="14.25" customHeight="1">
      <c r="A821" s="41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1"/>
      <c r="X821" s="41"/>
    </row>
    <row r="822" ht="14.25" customHeight="1">
      <c r="A822" s="41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1"/>
      <c r="X822" s="41"/>
    </row>
    <row r="823" ht="14.25" customHeight="1">
      <c r="A823" s="41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1"/>
      <c r="X823" s="41"/>
    </row>
    <row r="824" ht="14.25" customHeight="1">
      <c r="A824" s="41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1"/>
      <c r="X824" s="41"/>
    </row>
    <row r="825" ht="14.25" customHeight="1">
      <c r="A825" s="41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1"/>
      <c r="X825" s="41"/>
    </row>
    <row r="826" ht="14.25" customHeight="1">
      <c r="A826" s="41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1"/>
      <c r="X826" s="41"/>
    </row>
    <row r="827" ht="14.25" customHeight="1">
      <c r="A827" s="41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1"/>
      <c r="X827" s="41"/>
    </row>
    <row r="828" ht="14.25" customHeight="1">
      <c r="A828" s="41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1"/>
      <c r="X828" s="41"/>
    </row>
    <row r="829" ht="14.25" customHeight="1">
      <c r="A829" s="41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1"/>
      <c r="X829" s="41"/>
    </row>
    <row r="830" ht="14.25" customHeight="1">
      <c r="A830" s="41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1"/>
      <c r="X830" s="41"/>
    </row>
    <row r="831" ht="14.25" customHeight="1">
      <c r="A831" s="41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1"/>
      <c r="X831" s="41"/>
    </row>
    <row r="832" ht="14.25" customHeight="1">
      <c r="A832" s="41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1"/>
      <c r="X832" s="41"/>
    </row>
    <row r="833" ht="14.25" customHeight="1">
      <c r="A833" s="41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1"/>
      <c r="X833" s="41"/>
    </row>
    <row r="834" ht="14.25" customHeight="1">
      <c r="A834" s="41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1"/>
      <c r="X834" s="41"/>
    </row>
    <row r="835" ht="14.25" customHeight="1">
      <c r="A835" s="41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1"/>
      <c r="X835" s="41"/>
    </row>
    <row r="836" ht="14.25" customHeight="1">
      <c r="A836" s="41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1"/>
      <c r="X836" s="41"/>
    </row>
    <row r="837" ht="14.25" customHeight="1">
      <c r="A837" s="41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1"/>
      <c r="X837" s="41"/>
    </row>
    <row r="838" ht="14.25" customHeight="1">
      <c r="A838" s="41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1"/>
      <c r="X838" s="41"/>
    </row>
    <row r="839" ht="14.25" customHeight="1">
      <c r="A839" s="41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1"/>
      <c r="X839" s="41"/>
    </row>
    <row r="840" ht="14.25" customHeight="1">
      <c r="A840" s="41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1"/>
      <c r="X840" s="41"/>
    </row>
    <row r="841" ht="14.25" customHeight="1">
      <c r="A841" s="41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1"/>
      <c r="X841" s="41"/>
    </row>
    <row r="842" ht="14.25" customHeight="1">
      <c r="A842" s="41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1"/>
      <c r="X842" s="41"/>
    </row>
    <row r="843" ht="14.25" customHeight="1">
      <c r="A843" s="41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1"/>
      <c r="X843" s="41"/>
    </row>
    <row r="844" ht="14.25" customHeight="1">
      <c r="A844" s="41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1"/>
      <c r="X844" s="41"/>
    </row>
    <row r="845" ht="14.25" customHeight="1">
      <c r="A845" s="41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1"/>
      <c r="X845" s="41"/>
    </row>
    <row r="846" ht="14.25" customHeight="1">
      <c r="A846" s="41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1"/>
      <c r="X846" s="41"/>
    </row>
    <row r="847" ht="14.25" customHeight="1">
      <c r="A847" s="41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1"/>
      <c r="X847" s="41"/>
    </row>
    <row r="848" ht="14.25" customHeight="1">
      <c r="A848" s="41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1"/>
      <c r="X848" s="41"/>
    </row>
    <row r="849" ht="14.25" customHeight="1">
      <c r="A849" s="41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1"/>
      <c r="X849" s="41"/>
    </row>
    <row r="850" ht="14.25" customHeight="1">
      <c r="A850" s="41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1"/>
      <c r="X850" s="41"/>
    </row>
    <row r="851" ht="14.25" customHeight="1">
      <c r="A851" s="41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1"/>
      <c r="X851" s="41"/>
    </row>
    <row r="852" ht="14.25" customHeight="1">
      <c r="A852" s="41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1"/>
      <c r="X852" s="41"/>
    </row>
    <row r="853" ht="14.25" customHeight="1">
      <c r="A853" s="41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1"/>
      <c r="X853" s="41"/>
    </row>
    <row r="854" ht="14.25" customHeight="1">
      <c r="A854" s="41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1"/>
      <c r="X854" s="41"/>
    </row>
    <row r="855" ht="14.25" customHeight="1">
      <c r="A855" s="41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1"/>
      <c r="X855" s="41"/>
    </row>
    <row r="856" ht="14.25" customHeight="1">
      <c r="A856" s="41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1"/>
      <c r="X856" s="41"/>
    </row>
    <row r="857" ht="14.25" customHeight="1">
      <c r="A857" s="41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1"/>
      <c r="X857" s="41"/>
    </row>
    <row r="858" ht="14.25" customHeight="1">
      <c r="A858" s="41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1"/>
      <c r="X858" s="41"/>
    </row>
    <row r="859" ht="14.25" customHeight="1">
      <c r="A859" s="41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1"/>
      <c r="X859" s="41"/>
    </row>
    <row r="860" ht="14.25" customHeight="1">
      <c r="A860" s="41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1"/>
      <c r="X860" s="41"/>
    </row>
    <row r="861" ht="14.25" customHeight="1">
      <c r="A861" s="41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1"/>
      <c r="X861" s="41"/>
    </row>
    <row r="862" ht="14.25" customHeight="1">
      <c r="A862" s="41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1"/>
      <c r="X862" s="41"/>
    </row>
    <row r="863" ht="14.25" customHeight="1">
      <c r="A863" s="41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1"/>
      <c r="X863" s="41"/>
    </row>
    <row r="864" ht="14.25" customHeight="1">
      <c r="A864" s="41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1"/>
      <c r="X864" s="41"/>
    </row>
    <row r="865" ht="14.25" customHeight="1">
      <c r="A865" s="41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1"/>
      <c r="X865" s="41"/>
    </row>
    <row r="866" ht="14.25" customHeight="1">
      <c r="A866" s="41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1"/>
      <c r="X866" s="41"/>
    </row>
    <row r="867" ht="14.25" customHeight="1">
      <c r="A867" s="41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1"/>
      <c r="X867" s="41"/>
    </row>
    <row r="868" ht="14.25" customHeight="1">
      <c r="A868" s="41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1"/>
      <c r="X868" s="41"/>
    </row>
    <row r="869" ht="14.25" customHeight="1">
      <c r="A869" s="41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1"/>
      <c r="X869" s="41"/>
    </row>
    <row r="870" ht="14.25" customHeight="1">
      <c r="A870" s="41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1"/>
      <c r="X870" s="41"/>
    </row>
    <row r="871" ht="14.25" customHeight="1">
      <c r="A871" s="41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1"/>
      <c r="X871" s="41"/>
    </row>
    <row r="872" ht="14.25" customHeight="1">
      <c r="A872" s="41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1"/>
      <c r="X872" s="41"/>
    </row>
    <row r="873" ht="14.25" customHeight="1">
      <c r="A873" s="41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1"/>
      <c r="X873" s="41"/>
    </row>
    <row r="874" ht="14.25" customHeight="1">
      <c r="A874" s="41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1"/>
      <c r="X874" s="41"/>
    </row>
    <row r="875" ht="14.25" customHeight="1">
      <c r="A875" s="41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1"/>
      <c r="X875" s="41"/>
    </row>
    <row r="876" ht="14.25" customHeight="1">
      <c r="A876" s="41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1"/>
      <c r="X876" s="41"/>
    </row>
    <row r="877" ht="14.25" customHeight="1">
      <c r="A877" s="41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1"/>
      <c r="X877" s="41"/>
    </row>
    <row r="878" ht="14.25" customHeight="1">
      <c r="A878" s="41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1"/>
      <c r="X878" s="41"/>
    </row>
    <row r="879" ht="14.25" customHeight="1">
      <c r="A879" s="41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1"/>
      <c r="X879" s="41"/>
    </row>
    <row r="880" ht="14.25" customHeight="1">
      <c r="A880" s="41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1"/>
      <c r="X880" s="41"/>
    </row>
    <row r="881" ht="14.25" customHeight="1">
      <c r="A881" s="41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1"/>
      <c r="X881" s="41"/>
    </row>
    <row r="882" ht="14.25" customHeight="1">
      <c r="A882" s="41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1"/>
      <c r="X882" s="41"/>
    </row>
    <row r="883" ht="14.25" customHeight="1">
      <c r="A883" s="41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1"/>
      <c r="X883" s="41"/>
    </row>
    <row r="884" ht="14.25" customHeight="1">
      <c r="A884" s="41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1"/>
      <c r="X884" s="41"/>
    </row>
    <row r="885" ht="14.25" customHeight="1">
      <c r="A885" s="41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1"/>
      <c r="X885" s="41"/>
    </row>
    <row r="886" ht="14.25" customHeight="1">
      <c r="A886" s="41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1"/>
      <c r="X886" s="41"/>
    </row>
    <row r="887" ht="14.25" customHeight="1">
      <c r="A887" s="41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1"/>
      <c r="X887" s="41"/>
    </row>
    <row r="888" ht="14.25" customHeight="1">
      <c r="A888" s="41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1"/>
      <c r="X888" s="41"/>
    </row>
    <row r="889" ht="14.25" customHeight="1">
      <c r="A889" s="41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1"/>
      <c r="X889" s="41"/>
    </row>
    <row r="890" ht="14.25" customHeight="1">
      <c r="A890" s="41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1"/>
      <c r="X890" s="41"/>
    </row>
    <row r="891" ht="14.25" customHeight="1">
      <c r="A891" s="41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1"/>
      <c r="X891" s="41"/>
    </row>
    <row r="892" ht="14.25" customHeight="1">
      <c r="A892" s="41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1"/>
      <c r="X892" s="41"/>
    </row>
    <row r="893" ht="14.25" customHeight="1">
      <c r="A893" s="41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1"/>
      <c r="X893" s="41"/>
    </row>
    <row r="894" ht="14.25" customHeight="1">
      <c r="A894" s="41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1"/>
      <c r="X894" s="41"/>
    </row>
    <row r="895" ht="14.25" customHeight="1">
      <c r="A895" s="41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1"/>
      <c r="X895" s="41"/>
    </row>
    <row r="896" ht="14.25" customHeight="1">
      <c r="A896" s="41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1"/>
      <c r="X896" s="41"/>
    </row>
    <row r="897" ht="14.25" customHeight="1">
      <c r="A897" s="41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1"/>
      <c r="X897" s="41"/>
    </row>
    <row r="898" ht="14.25" customHeight="1">
      <c r="A898" s="41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1"/>
      <c r="X898" s="41"/>
    </row>
    <row r="899" ht="14.25" customHeight="1">
      <c r="A899" s="41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1"/>
      <c r="X899" s="41"/>
    </row>
    <row r="900" ht="14.25" customHeight="1">
      <c r="A900" s="41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1"/>
      <c r="X900" s="41"/>
    </row>
    <row r="901" ht="14.25" customHeight="1">
      <c r="A901" s="41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1"/>
      <c r="X901" s="41"/>
    </row>
    <row r="902" ht="14.25" customHeight="1">
      <c r="A902" s="41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1"/>
      <c r="X902" s="41"/>
    </row>
    <row r="903" ht="14.25" customHeight="1">
      <c r="A903" s="41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1"/>
      <c r="X903" s="41"/>
    </row>
    <row r="904" ht="14.25" customHeight="1">
      <c r="A904" s="41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1"/>
      <c r="X904" s="41"/>
    </row>
    <row r="905" ht="14.25" customHeight="1">
      <c r="A905" s="41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1"/>
      <c r="X905" s="41"/>
    </row>
    <row r="906" ht="14.25" customHeight="1">
      <c r="A906" s="41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1"/>
      <c r="X906" s="41"/>
    </row>
    <row r="907" ht="14.25" customHeight="1">
      <c r="A907" s="41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1"/>
      <c r="X907" s="41"/>
    </row>
    <row r="908" ht="14.25" customHeight="1">
      <c r="A908" s="41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1"/>
      <c r="X908" s="41"/>
    </row>
    <row r="909" ht="14.25" customHeight="1">
      <c r="A909" s="41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1"/>
      <c r="X909" s="41"/>
    </row>
    <row r="910" ht="14.25" customHeight="1">
      <c r="A910" s="41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1"/>
      <c r="X910" s="41"/>
    </row>
    <row r="911" ht="14.25" customHeight="1">
      <c r="A911" s="41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1"/>
      <c r="X911" s="41"/>
    </row>
    <row r="912" ht="14.25" customHeight="1">
      <c r="A912" s="41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1"/>
      <c r="X912" s="41"/>
    </row>
    <row r="913" ht="14.25" customHeight="1">
      <c r="A913" s="41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1"/>
      <c r="X913" s="41"/>
    </row>
    <row r="914" ht="14.25" customHeight="1">
      <c r="A914" s="41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1"/>
      <c r="X914" s="41"/>
    </row>
    <row r="915" ht="14.25" customHeight="1">
      <c r="A915" s="41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1"/>
      <c r="X915" s="41"/>
    </row>
    <row r="916" ht="14.25" customHeight="1">
      <c r="A916" s="41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1"/>
      <c r="X916" s="41"/>
    </row>
    <row r="917" ht="14.25" customHeight="1">
      <c r="A917" s="41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1"/>
      <c r="X917" s="41"/>
    </row>
    <row r="918" ht="14.25" customHeight="1">
      <c r="A918" s="41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1"/>
      <c r="X918" s="41"/>
    </row>
    <row r="919" ht="14.25" customHeight="1">
      <c r="A919" s="41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1"/>
      <c r="X919" s="41"/>
    </row>
    <row r="920" ht="14.25" customHeight="1">
      <c r="A920" s="41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1"/>
      <c r="X920" s="41"/>
    </row>
    <row r="921" ht="14.25" customHeight="1">
      <c r="A921" s="41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1"/>
      <c r="X921" s="41"/>
    </row>
    <row r="922" ht="14.25" customHeight="1">
      <c r="A922" s="41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1"/>
      <c r="X922" s="41"/>
    </row>
    <row r="923" ht="14.25" customHeight="1">
      <c r="A923" s="41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1"/>
      <c r="X923" s="41"/>
    </row>
    <row r="924" ht="14.25" customHeight="1">
      <c r="A924" s="41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1"/>
      <c r="X924" s="41"/>
    </row>
    <row r="925" ht="14.25" customHeight="1">
      <c r="A925" s="41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1"/>
      <c r="X925" s="41"/>
    </row>
    <row r="926" ht="14.25" customHeight="1">
      <c r="A926" s="41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1"/>
      <c r="X926" s="41"/>
    </row>
    <row r="927" ht="14.25" customHeight="1">
      <c r="A927" s="41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1"/>
      <c r="X927" s="41"/>
    </row>
    <row r="928" ht="14.25" customHeight="1">
      <c r="A928" s="41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1"/>
      <c r="X928" s="41"/>
    </row>
    <row r="929" ht="14.25" customHeight="1">
      <c r="A929" s="41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1"/>
      <c r="X929" s="41"/>
    </row>
    <row r="930" ht="14.25" customHeight="1">
      <c r="A930" s="41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1"/>
      <c r="X930" s="41"/>
    </row>
    <row r="931" ht="14.25" customHeight="1">
      <c r="A931" s="41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1"/>
      <c r="X931" s="41"/>
    </row>
    <row r="932" ht="14.25" customHeight="1">
      <c r="A932" s="41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1"/>
      <c r="X932" s="41"/>
    </row>
    <row r="933" ht="14.25" customHeight="1">
      <c r="A933" s="41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1"/>
      <c r="X933" s="41"/>
    </row>
    <row r="934" ht="14.25" customHeight="1">
      <c r="A934" s="41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1"/>
      <c r="X934" s="41"/>
    </row>
    <row r="935" ht="14.25" customHeight="1">
      <c r="A935" s="41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1"/>
      <c r="X935" s="41"/>
    </row>
    <row r="936" ht="14.25" customHeight="1">
      <c r="A936" s="41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1"/>
      <c r="X936" s="41"/>
    </row>
    <row r="937" ht="14.25" customHeight="1">
      <c r="A937" s="41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1"/>
      <c r="X937" s="41"/>
    </row>
    <row r="938" ht="14.25" customHeight="1">
      <c r="A938" s="41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1"/>
      <c r="X938" s="41"/>
    </row>
    <row r="939" ht="14.25" customHeight="1">
      <c r="A939" s="41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1"/>
      <c r="X939" s="41"/>
    </row>
    <row r="940" ht="14.25" customHeight="1">
      <c r="A940" s="41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1"/>
      <c r="X940" s="41"/>
    </row>
    <row r="941" ht="14.25" customHeight="1">
      <c r="A941" s="41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1"/>
      <c r="X941" s="41"/>
    </row>
    <row r="942" ht="14.25" customHeight="1">
      <c r="A942" s="41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1"/>
      <c r="X942" s="41"/>
    </row>
    <row r="943" ht="14.25" customHeight="1">
      <c r="A943" s="41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1"/>
      <c r="X943" s="41"/>
    </row>
    <row r="944" ht="14.25" customHeight="1">
      <c r="A944" s="41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1"/>
      <c r="X944" s="41"/>
    </row>
    <row r="945" ht="14.25" customHeight="1">
      <c r="A945" s="41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1"/>
      <c r="X945" s="41"/>
    </row>
    <row r="946" ht="14.25" customHeight="1">
      <c r="A946" s="41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1"/>
      <c r="X946" s="41"/>
    </row>
    <row r="947" ht="14.25" customHeight="1">
      <c r="A947" s="41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1"/>
      <c r="X947" s="41"/>
    </row>
    <row r="948" ht="14.25" customHeight="1">
      <c r="A948" s="41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1"/>
      <c r="X948" s="41"/>
    </row>
    <row r="949" ht="14.25" customHeight="1">
      <c r="A949" s="41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1"/>
      <c r="X949" s="41"/>
    </row>
    <row r="950" ht="14.25" customHeight="1">
      <c r="A950" s="41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1"/>
      <c r="X950" s="41"/>
    </row>
    <row r="951" ht="14.25" customHeight="1">
      <c r="A951" s="41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1"/>
      <c r="X951" s="41"/>
    </row>
    <row r="952" ht="14.25" customHeight="1">
      <c r="A952" s="41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1"/>
      <c r="X952" s="41"/>
    </row>
    <row r="953" ht="14.25" customHeight="1">
      <c r="A953" s="41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1"/>
      <c r="X953" s="41"/>
    </row>
    <row r="954" ht="14.25" customHeight="1">
      <c r="A954" s="41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1"/>
      <c r="X954" s="41"/>
    </row>
    <row r="955" ht="14.25" customHeight="1">
      <c r="A955" s="41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1"/>
      <c r="X955" s="41"/>
    </row>
    <row r="956" ht="14.25" customHeight="1">
      <c r="A956" s="41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1"/>
      <c r="X956" s="41"/>
    </row>
    <row r="957" ht="14.25" customHeight="1">
      <c r="A957" s="41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1"/>
      <c r="X957" s="41"/>
    </row>
    <row r="958" ht="14.25" customHeight="1">
      <c r="A958" s="41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1"/>
      <c r="X958" s="41"/>
    </row>
    <row r="959" ht="14.25" customHeight="1">
      <c r="A959" s="41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1"/>
      <c r="X959" s="41"/>
    </row>
    <row r="960" ht="14.25" customHeight="1">
      <c r="A960" s="41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1"/>
      <c r="X960" s="41"/>
    </row>
    <row r="961" ht="14.25" customHeight="1">
      <c r="A961" s="41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1"/>
      <c r="X961" s="41"/>
    </row>
    <row r="962" ht="14.25" customHeight="1">
      <c r="A962" s="41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1"/>
      <c r="X962" s="41"/>
    </row>
    <row r="963" ht="14.25" customHeight="1">
      <c r="A963" s="41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1"/>
      <c r="X963" s="41"/>
    </row>
    <row r="964" ht="14.25" customHeight="1">
      <c r="A964" s="41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1"/>
      <c r="X964" s="41"/>
    </row>
    <row r="965" ht="14.25" customHeight="1">
      <c r="A965" s="41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1"/>
      <c r="X965" s="41"/>
    </row>
    <row r="966" ht="14.25" customHeight="1">
      <c r="A966" s="41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1"/>
      <c r="X966" s="41"/>
    </row>
    <row r="967" ht="14.25" customHeight="1">
      <c r="A967" s="41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1"/>
      <c r="X967" s="41"/>
    </row>
    <row r="968" ht="14.25" customHeight="1">
      <c r="A968" s="41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1"/>
      <c r="X968" s="41"/>
    </row>
    <row r="969" ht="14.25" customHeight="1">
      <c r="A969" s="41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1"/>
      <c r="X969" s="41"/>
    </row>
    <row r="970" ht="14.25" customHeight="1">
      <c r="A970" s="41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1"/>
      <c r="X970" s="41"/>
    </row>
    <row r="971" ht="14.25" customHeight="1">
      <c r="A971" s="41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1"/>
      <c r="X971" s="41"/>
    </row>
    <row r="972" ht="14.25" customHeight="1">
      <c r="A972" s="41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1"/>
      <c r="X972" s="41"/>
    </row>
    <row r="973" ht="14.25" customHeight="1">
      <c r="A973" s="41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1"/>
      <c r="X973" s="41"/>
    </row>
    <row r="974" ht="14.25" customHeight="1">
      <c r="A974" s="41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1"/>
      <c r="X974" s="41"/>
    </row>
    <row r="975" ht="14.25" customHeight="1">
      <c r="A975" s="41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1"/>
      <c r="X975" s="41"/>
    </row>
    <row r="976" ht="14.25" customHeight="1">
      <c r="A976" s="41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1"/>
      <c r="X976" s="41"/>
    </row>
    <row r="977" ht="14.25" customHeight="1">
      <c r="A977" s="41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1"/>
      <c r="X977" s="41"/>
    </row>
    <row r="978" ht="14.25" customHeight="1">
      <c r="A978" s="41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1"/>
      <c r="X978" s="41"/>
    </row>
    <row r="979" ht="14.25" customHeight="1">
      <c r="A979" s="41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1"/>
      <c r="X979" s="41"/>
    </row>
    <row r="980" ht="14.25" customHeight="1">
      <c r="A980" s="41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1"/>
      <c r="X980" s="41"/>
    </row>
    <row r="981" ht="14.25" customHeight="1">
      <c r="A981" s="41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1"/>
      <c r="X981" s="41"/>
    </row>
    <row r="982" ht="14.25" customHeight="1">
      <c r="A982" s="41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1"/>
      <c r="X982" s="41"/>
    </row>
    <row r="983" ht="14.25" customHeight="1">
      <c r="A983" s="41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1"/>
      <c r="X983" s="41"/>
    </row>
    <row r="984" ht="14.25" customHeight="1">
      <c r="A984" s="41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1"/>
      <c r="X984" s="41"/>
    </row>
    <row r="985" ht="14.25" customHeight="1">
      <c r="A985" s="41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1"/>
      <c r="X985" s="41"/>
    </row>
    <row r="986" ht="14.25" customHeight="1">
      <c r="A986" s="41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1"/>
      <c r="X986" s="41"/>
    </row>
    <row r="987" ht="14.25" customHeight="1">
      <c r="A987" s="41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1"/>
      <c r="X987" s="41"/>
    </row>
    <row r="988" ht="14.25" customHeight="1">
      <c r="A988" s="41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1"/>
      <c r="X988" s="41"/>
    </row>
    <row r="989" ht="14.25" customHeight="1">
      <c r="A989" s="41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1"/>
      <c r="X989" s="41"/>
    </row>
    <row r="990" ht="14.25" customHeight="1">
      <c r="A990" s="41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1"/>
      <c r="X990" s="41"/>
    </row>
    <row r="991" ht="14.25" customHeight="1">
      <c r="A991" s="41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1"/>
      <c r="X991" s="41"/>
    </row>
    <row r="992" ht="14.25" customHeight="1">
      <c r="A992" s="41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1"/>
      <c r="X992" s="41"/>
    </row>
    <row r="993" ht="14.25" customHeight="1">
      <c r="A993" s="41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1"/>
      <c r="X993" s="41"/>
    </row>
    <row r="994" ht="14.25" customHeight="1">
      <c r="A994" s="41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1"/>
      <c r="X994" s="41"/>
    </row>
    <row r="995" ht="14.25" customHeight="1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1"/>
      <c r="X995" s="41"/>
    </row>
    <row r="996" ht="14.25" customHeight="1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1"/>
      <c r="X996" s="41"/>
    </row>
    <row r="997" ht="14.25" customHeight="1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1"/>
      <c r="X997" s="41"/>
    </row>
    <row r="998" ht="14.25" customHeight="1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1"/>
      <c r="X998" s="41"/>
    </row>
    <row r="999" ht="14.25" customHeight="1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1"/>
      <c r="X999" s="41"/>
    </row>
    <row r="1000" ht="14.25" customHeight="1">
      <c r="A1000" s="41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1"/>
      <c r="X1000" s="41"/>
    </row>
    <row r="1001" ht="14.25" customHeight="1">
      <c r="A1001" s="41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1"/>
      <c r="X1001" s="41"/>
    </row>
    <row r="1002" ht="14.25" customHeight="1">
      <c r="A1002" s="41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1"/>
      <c r="X1002" s="41"/>
    </row>
    <row r="1003" ht="14.25" customHeight="1">
      <c r="A1003" s="41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1"/>
      <c r="X1003" s="41"/>
    </row>
    <row r="1004" ht="14.25" customHeight="1">
      <c r="A1004" s="41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1"/>
      <c r="X1004" s="41"/>
    </row>
    <row r="1005" ht="14.25" customHeight="1">
      <c r="A1005" s="41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1"/>
      <c r="X1005" s="41"/>
    </row>
    <row r="1006" ht="14.25" customHeight="1">
      <c r="A1006" s="41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1"/>
      <c r="X1006" s="41"/>
    </row>
    <row r="1007" ht="14.25" customHeight="1">
      <c r="A1007" s="41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1"/>
      <c r="X1007" s="41"/>
    </row>
    <row r="1008" ht="14.25" customHeight="1">
      <c r="A1008" s="41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1"/>
      <c r="X1008" s="41"/>
    </row>
    <row r="1009" ht="14.25" customHeight="1">
      <c r="A1009" s="41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1"/>
      <c r="X1009" s="41"/>
    </row>
    <row r="1010" ht="14.25" customHeight="1">
      <c r="A1010" s="41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1"/>
      <c r="X1010" s="41"/>
    </row>
    <row r="1011" ht="14.25" customHeight="1">
      <c r="A1011" s="41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1"/>
      <c r="X1011" s="41"/>
    </row>
    <row r="1012" ht="14.25" customHeight="1">
      <c r="A1012" s="41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1"/>
      <c r="X1012" s="41"/>
    </row>
    <row r="1013" ht="14.25" customHeight="1">
      <c r="A1013" s="41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1"/>
      <c r="X1013" s="41"/>
    </row>
    <row r="1014" ht="14.25" customHeight="1">
      <c r="A1014" s="41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1"/>
      <c r="X1014" s="41"/>
    </row>
    <row r="1015" ht="14.25" customHeight="1">
      <c r="A1015" s="41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1"/>
      <c r="X1015" s="41"/>
    </row>
    <row r="1016" ht="14.25" customHeight="1">
      <c r="A1016" s="41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1"/>
      <c r="X1016" s="41"/>
    </row>
  </sheetData>
  <mergeCells count="100">
    <mergeCell ref="C52:E52"/>
    <mergeCell ref="C53:E53"/>
    <mergeCell ref="C54:E54"/>
    <mergeCell ref="C55:E55"/>
    <mergeCell ref="C56:E56"/>
    <mergeCell ref="C57:E57"/>
    <mergeCell ref="C58:E58"/>
    <mergeCell ref="C66:E66"/>
    <mergeCell ref="C67:E67"/>
    <mergeCell ref="C68:E68"/>
    <mergeCell ref="C69:E69"/>
    <mergeCell ref="C70:E70"/>
    <mergeCell ref="C71:E71"/>
    <mergeCell ref="C72:E72"/>
    <mergeCell ref="C59:E59"/>
    <mergeCell ref="C60:E60"/>
    <mergeCell ref="C61:E61"/>
    <mergeCell ref="C62:E62"/>
    <mergeCell ref="C63:E63"/>
    <mergeCell ref="C64:E64"/>
    <mergeCell ref="C65:E65"/>
    <mergeCell ref="R64:T64"/>
    <mergeCell ref="R65:T65"/>
    <mergeCell ref="R57:T57"/>
    <mergeCell ref="R58:T58"/>
    <mergeCell ref="R59:T59"/>
    <mergeCell ref="R60:T60"/>
    <mergeCell ref="R61:T61"/>
    <mergeCell ref="R62:T62"/>
    <mergeCell ref="R63:T63"/>
    <mergeCell ref="H51:J51"/>
    <mergeCell ref="H52:J52"/>
    <mergeCell ref="H53:J53"/>
    <mergeCell ref="H54:J54"/>
    <mergeCell ref="H55:J55"/>
    <mergeCell ref="H56:J56"/>
    <mergeCell ref="H57:J57"/>
    <mergeCell ref="H69:J69"/>
    <mergeCell ref="H70:J70"/>
    <mergeCell ref="H71:J71"/>
    <mergeCell ref="H72:J72"/>
    <mergeCell ref="H58:J58"/>
    <mergeCell ref="H59:J59"/>
    <mergeCell ref="H60:J60"/>
    <mergeCell ref="H61:J61"/>
    <mergeCell ref="H62:J62"/>
    <mergeCell ref="H63:J63"/>
    <mergeCell ref="H64:J64"/>
    <mergeCell ref="R70:T70"/>
    <mergeCell ref="R71:T71"/>
    <mergeCell ref="M72:O72"/>
    <mergeCell ref="R72:T72"/>
    <mergeCell ref="M67:O67"/>
    <mergeCell ref="M68:O68"/>
    <mergeCell ref="R68:T68"/>
    <mergeCell ref="M69:O69"/>
    <mergeCell ref="R69:T69"/>
    <mergeCell ref="M70:O70"/>
    <mergeCell ref="M71:O71"/>
    <mergeCell ref="C2:E2"/>
    <mergeCell ref="H2:J2"/>
    <mergeCell ref="M2:O2"/>
    <mergeCell ref="R2:T2"/>
    <mergeCell ref="H26:J26"/>
    <mergeCell ref="M26:O26"/>
    <mergeCell ref="R26:T26"/>
    <mergeCell ref="C26:E26"/>
    <mergeCell ref="C50:E50"/>
    <mergeCell ref="H50:J50"/>
    <mergeCell ref="M50:O50"/>
    <mergeCell ref="C51:E51"/>
    <mergeCell ref="M51:O51"/>
    <mergeCell ref="M52:O52"/>
    <mergeCell ref="R50:T50"/>
    <mergeCell ref="R51:T51"/>
    <mergeCell ref="R52:T52"/>
    <mergeCell ref="R53:T53"/>
    <mergeCell ref="R54:T54"/>
    <mergeCell ref="R55:T55"/>
    <mergeCell ref="R56:T56"/>
    <mergeCell ref="M53:O53"/>
    <mergeCell ref="M54:O54"/>
    <mergeCell ref="M55:O55"/>
    <mergeCell ref="M56:O56"/>
    <mergeCell ref="M57:O57"/>
    <mergeCell ref="M58:O58"/>
    <mergeCell ref="M59:O59"/>
    <mergeCell ref="H65:J65"/>
    <mergeCell ref="H66:J66"/>
    <mergeCell ref="R66:T66"/>
    <mergeCell ref="R67:T67"/>
    <mergeCell ref="H67:J67"/>
    <mergeCell ref="H68:J68"/>
    <mergeCell ref="M60:O60"/>
    <mergeCell ref="M61:O61"/>
    <mergeCell ref="M62:O62"/>
    <mergeCell ref="M63:O63"/>
    <mergeCell ref="M64:O64"/>
    <mergeCell ref="M65:O65"/>
    <mergeCell ref="M66:O6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Col="1"/>
  <cols>
    <col customWidth="1" min="1" max="1" width="3.38"/>
    <col customWidth="1" min="2" max="2" width="14.88"/>
    <col customWidth="1" min="3" max="3" width="16.75"/>
    <col customWidth="1" min="4" max="4" width="3.63"/>
    <col customWidth="1" min="5" max="5" width="17.25"/>
    <col customWidth="1" min="6" max="7" width="9.0" outlineLevel="1"/>
    <col customWidth="1" min="8" max="8" width="16.75"/>
    <col customWidth="1" min="9" max="9" width="3.63"/>
    <col customWidth="1" min="10" max="10" width="17.25"/>
    <col customWidth="1" min="11" max="12" width="9.0" outlineLevel="1"/>
    <col customWidth="1" min="13" max="16" width="8.0"/>
  </cols>
  <sheetData>
    <row r="1" ht="14.25" customHeight="1">
      <c r="A1" s="41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N1" s="41"/>
      <c r="O1" s="41"/>
      <c r="P1" s="41"/>
    </row>
    <row r="2" ht="14.25" customHeight="1">
      <c r="A2" s="41"/>
      <c r="B2" s="1"/>
      <c r="C2" s="42" t="s">
        <v>134</v>
      </c>
      <c r="D2" s="43"/>
      <c r="E2" s="44"/>
      <c r="F2" s="74" t="s">
        <v>88</v>
      </c>
      <c r="G2" s="74" t="s">
        <v>89</v>
      </c>
      <c r="H2" s="42" t="s">
        <v>135</v>
      </c>
      <c r="I2" s="43"/>
      <c r="J2" s="44"/>
      <c r="K2" s="9" t="s">
        <v>88</v>
      </c>
      <c r="L2" s="9" t="s">
        <v>89</v>
      </c>
      <c r="M2" s="41"/>
      <c r="N2" s="41"/>
      <c r="O2" s="41"/>
      <c r="P2" s="41"/>
    </row>
    <row r="3" ht="14.25" customHeight="1">
      <c r="A3" s="41"/>
      <c r="B3" s="51" t="s">
        <v>9</v>
      </c>
      <c r="C3" s="75">
        <f>VLOOKUP($B3,Form_Semi!$C$2:$M$93,2,FALSE)</f>
        <v>1</v>
      </c>
      <c r="D3" s="75" t="s">
        <v>98</v>
      </c>
      <c r="E3" s="75">
        <f>VLOOKUP($B3,Form_Semi!$C$2:$M$93,3,FALSE)</f>
        <v>1</v>
      </c>
      <c r="F3" s="47" t="str">
        <f t="shared" ref="F3:F22" si="1">IF(C3&gt;E3,"casa",IF(C3=E3,"empate","visita"))</f>
        <v>empate</v>
      </c>
      <c r="G3" s="48">
        <f>IF(C3=SEMI!C$23,IF(SEMI!E$23=E3,Pesos!$P$6,IF(F3=SEMI!F$23,Pesos!$P$3,0)),IF(F3=SEMI!F$23,Pesos!$P$3,0))*IF(COUNTIF(F$3:F$22,F3)=1,2,1)</f>
        <v>0</v>
      </c>
      <c r="H3" s="48">
        <f>VLOOKUP($B3,Form_Semi!$C$2:$M$93,7,FALSE)</f>
        <v>2</v>
      </c>
      <c r="I3" s="48" t="s">
        <v>98</v>
      </c>
      <c r="J3" s="48">
        <f>VLOOKUP($B3,Form_Semi!$C$2:$M$93,8,FALSE)</f>
        <v>1</v>
      </c>
      <c r="K3" s="47" t="str">
        <f t="shared" ref="K3:K22" si="2">IF(H3&gt;J3,"casa",IF(H3=J3,"empate","visita"))</f>
        <v>casa</v>
      </c>
      <c r="L3" s="48">
        <f>IF(H3=SEMI!H$23,IF(SEMI!J$23=J3,Pesos!$P$6,IF(K3=SEMI!K$23,Pesos!$P$3,0)),IF(K3=SEMI!K$23,Pesos!$P$3,0))*IF(COUNTIF(K$3:K$22,K3)=1,2,1)</f>
        <v>0</v>
      </c>
      <c r="M3" s="41"/>
      <c r="N3" s="41"/>
      <c r="O3" s="41"/>
      <c r="P3" s="41"/>
    </row>
    <row r="4" ht="14.25" customHeight="1">
      <c r="A4" s="41"/>
      <c r="B4" s="51" t="s">
        <v>10</v>
      </c>
      <c r="C4" s="48">
        <f>VLOOKUP($B4,Form_Semi!$C$2:$M$93,2,FALSE)</f>
        <v>3</v>
      </c>
      <c r="D4" s="48" t="s">
        <v>98</v>
      </c>
      <c r="E4" s="48">
        <f>VLOOKUP($B4,Form_Semi!$C$2:$M$93,3,FALSE)</f>
        <v>2</v>
      </c>
      <c r="F4" s="47" t="str">
        <f t="shared" si="1"/>
        <v>casa</v>
      </c>
      <c r="G4" s="48">
        <f>IF(C4=SEMI!C$23,IF(SEMI!E$23=E4,Pesos!$P$6,IF(F4=SEMI!F$23,Pesos!$P$3,0)),IF(F4=SEMI!F$23,Pesos!$P$3,0))*IF(COUNTIF(F$3:F$22,F4)=1,2,1)</f>
        <v>0</v>
      </c>
      <c r="H4" s="48">
        <f>VLOOKUP($B4,Form_Semi!$C$2:$M$93,7,FALSE)</f>
        <v>3</v>
      </c>
      <c r="I4" s="48" t="s">
        <v>98</v>
      </c>
      <c r="J4" s="48">
        <f>VLOOKUP($B4,Form_Semi!$C$2:$M$93,8,FALSE)</f>
        <v>1</v>
      </c>
      <c r="K4" s="47" t="str">
        <f t="shared" si="2"/>
        <v>casa</v>
      </c>
      <c r="L4" s="48">
        <f>IF(H4=SEMI!H$23,IF(SEMI!J$23=J4,Pesos!$P$6,IF(K4=SEMI!K$23,Pesos!$P$3,0)),IF(K4=SEMI!K$23,Pesos!$P$3,0))*IF(COUNTIF(K$3:K$22,K4)=1,2,1)</f>
        <v>0</v>
      </c>
      <c r="M4" s="41"/>
      <c r="N4" s="41"/>
      <c r="O4" s="41"/>
      <c r="P4" s="41"/>
    </row>
    <row r="5" ht="14.25" customHeight="1">
      <c r="A5" s="41"/>
      <c r="B5" s="51" t="s">
        <v>17</v>
      </c>
      <c r="C5" s="48">
        <f>VLOOKUP($B5,Form_Semi!$C$2:$M$93,2,FALSE)</f>
        <v>2</v>
      </c>
      <c r="D5" s="9" t="s">
        <v>98</v>
      </c>
      <c r="E5" s="48">
        <f>VLOOKUP($B5,Form_Semi!$C$2:$M$93,3,FALSE)</f>
        <v>1</v>
      </c>
      <c r="F5" s="47" t="str">
        <f t="shared" si="1"/>
        <v>casa</v>
      </c>
      <c r="G5" s="48">
        <f>IF(C5=SEMI!C$23,IF(SEMI!E$23=E5,Pesos!$P$6,IF(F5=SEMI!F$23,Pesos!$P$3,0)),IF(F5=SEMI!F$23,Pesos!$P$3,0))*IF(COUNTIF(F$3:F$22,F5)=1,2,1)</f>
        <v>0</v>
      </c>
      <c r="H5" s="48">
        <f>VLOOKUP($B5,Form_Semi!$C$2:$M$93,7,FALSE)</f>
        <v>3</v>
      </c>
      <c r="I5" s="9" t="s">
        <v>98</v>
      </c>
      <c r="J5" s="48">
        <f>VLOOKUP($B5,Form_Semi!$C$2:$M$93,8,FALSE)</f>
        <v>1</v>
      </c>
      <c r="K5" s="47" t="str">
        <f t="shared" si="2"/>
        <v>casa</v>
      </c>
      <c r="L5" s="48">
        <f>IF(H5=SEMI!H$23,IF(SEMI!J$23=J5,Pesos!$P$6,IF(K5=SEMI!K$23,Pesos!$P$3,0)),IF(K5=SEMI!K$23,Pesos!$P$3,0))*IF(COUNTIF(K$3:K$22,K5)=1,2,1)</f>
        <v>0</v>
      </c>
      <c r="M5" s="41"/>
      <c r="N5" s="41"/>
      <c r="O5" s="41"/>
      <c r="P5" s="41"/>
    </row>
    <row r="6" ht="14.25" customHeight="1">
      <c r="A6" s="41"/>
      <c r="B6" s="51" t="s">
        <v>3</v>
      </c>
      <c r="C6" s="48">
        <f>VLOOKUP($B6,Form_Semi!$C$2:$M$93,2,FALSE)</f>
        <v>3</v>
      </c>
      <c r="D6" s="48" t="s">
        <v>98</v>
      </c>
      <c r="E6" s="48">
        <f>VLOOKUP($B6,Form_Semi!$C$2:$M$93,3,FALSE)</f>
        <v>2</v>
      </c>
      <c r="F6" s="47" t="str">
        <f t="shared" si="1"/>
        <v>casa</v>
      </c>
      <c r="G6" s="48">
        <f>IF(C6=SEMI!C$23,IF(SEMI!E$23=E6,Pesos!$P$6,IF(F6=SEMI!F$23,Pesos!$P$3,0)),IF(F6=SEMI!F$23,Pesos!$P$3,0))*IF(COUNTIF(F$3:F$22,F6)=1,2,1)</f>
        <v>0</v>
      </c>
      <c r="H6" s="48">
        <f>VLOOKUP($B6,Form_Semi!$C$2:$M$93,7,FALSE)</f>
        <v>3</v>
      </c>
      <c r="I6" s="48" t="s">
        <v>98</v>
      </c>
      <c r="J6" s="48">
        <f>VLOOKUP($B6,Form_Semi!$C$2:$M$93,8,FALSE)</f>
        <v>0</v>
      </c>
      <c r="K6" s="47" t="str">
        <f t="shared" si="2"/>
        <v>casa</v>
      </c>
      <c r="L6" s="48">
        <f>IF(H6=SEMI!H$23,IF(SEMI!J$23=J6,Pesos!$P$6,IF(K6=SEMI!K$23,Pesos!$P$3,0)),IF(K6=SEMI!K$23,Pesos!$P$3,0))*IF(COUNTIF(K$3:K$22,K6)=1,2,1)</f>
        <v>0</v>
      </c>
      <c r="M6" s="41"/>
      <c r="N6" s="41"/>
      <c r="O6" s="41"/>
      <c r="P6" s="41"/>
    </row>
    <row r="7" ht="14.25" customHeight="1">
      <c r="A7" s="41"/>
      <c r="B7" s="51" t="s">
        <v>13</v>
      </c>
      <c r="C7" s="48">
        <f>VLOOKUP($B7,Form_Semi!$C$2:$M$93,2,FALSE)</f>
        <v>2</v>
      </c>
      <c r="D7" s="48" t="s">
        <v>98</v>
      </c>
      <c r="E7" s="48">
        <f>VLOOKUP($B7,Form_Semi!$C$2:$M$93,3,FALSE)</f>
        <v>0</v>
      </c>
      <c r="F7" s="47" t="str">
        <f t="shared" si="1"/>
        <v>casa</v>
      </c>
      <c r="G7" s="48">
        <f>IF(C7=SEMI!C$23,IF(SEMI!E$23=E7,Pesos!$P$6,IF(F7=SEMI!F$23,Pesos!$P$3,0)),IF(F7=SEMI!F$23,Pesos!$P$3,0))*IF(COUNTIF(F$3:F$22,F7)=1,2,1)</f>
        <v>0</v>
      </c>
      <c r="H7" s="48">
        <f>VLOOKUP($B7,Form_Semi!$C$2:$M$93,7,FALSE)</f>
        <v>2</v>
      </c>
      <c r="I7" s="48" t="s">
        <v>98</v>
      </c>
      <c r="J7" s="48">
        <f>VLOOKUP($B7,Form_Semi!$C$2:$M$93,8,FALSE)</f>
        <v>0</v>
      </c>
      <c r="K7" s="47" t="str">
        <f t="shared" si="2"/>
        <v>casa</v>
      </c>
      <c r="L7" s="48">
        <f>IF(H7=SEMI!H$23,IF(SEMI!J$23=J7,Pesos!$P$6,IF(K7=SEMI!K$23,Pesos!$P$3,0)),IF(K7=SEMI!K$23,Pesos!$P$3,0))*IF(COUNTIF(K$3:K$22,K7)=1,2,1)</f>
        <v>0</v>
      </c>
      <c r="M7" s="41"/>
      <c r="N7" s="41"/>
      <c r="O7" s="41"/>
      <c r="P7" s="41"/>
    </row>
    <row r="8" ht="14.25" customHeight="1">
      <c r="A8" s="41"/>
      <c r="B8" s="51" t="s">
        <v>14</v>
      </c>
      <c r="C8" s="48">
        <f>VLOOKUP($B8,Form_Semi!$C$2:$M$93,2,FALSE)</f>
        <v>1</v>
      </c>
      <c r="D8" s="48" t="s">
        <v>98</v>
      </c>
      <c r="E8" s="48">
        <f>VLOOKUP($B8,Form_Semi!$C$2:$M$93,3,FALSE)</f>
        <v>1</v>
      </c>
      <c r="F8" s="47" t="str">
        <f t="shared" si="1"/>
        <v>empate</v>
      </c>
      <c r="G8" s="48">
        <f>IF(C8=SEMI!C$23,IF(SEMI!E$23=E8,Pesos!$P$6,IF(F8=SEMI!F$23,Pesos!$P$3,0)),IF(F8=SEMI!F$23,Pesos!$P$3,0))*IF(COUNTIF(F$3:F$22,F8)=1,2,1)</f>
        <v>0</v>
      </c>
      <c r="H8" s="48">
        <f>VLOOKUP($B8,Form_Semi!$C$2:$M$93,7,FALSE)</f>
        <v>4</v>
      </c>
      <c r="I8" s="48" t="s">
        <v>98</v>
      </c>
      <c r="J8" s="48">
        <f>VLOOKUP($B8,Form_Semi!$C$2:$M$93,8,FALSE)</f>
        <v>1</v>
      </c>
      <c r="K8" s="47" t="str">
        <f t="shared" si="2"/>
        <v>casa</v>
      </c>
      <c r="L8" s="48">
        <f>IF(H8=SEMI!H$23,IF(SEMI!J$23=J8,Pesos!$P$6,IF(K8=SEMI!K$23,Pesos!$P$3,0)),IF(K8=SEMI!K$23,Pesos!$P$3,0))*IF(COUNTIF(K$3:K$22,K8)=1,2,1)</f>
        <v>0</v>
      </c>
      <c r="M8" s="41"/>
      <c r="N8" s="41"/>
      <c r="O8" s="41"/>
      <c r="P8" s="41"/>
    </row>
    <row r="9" ht="14.25" customHeight="1">
      <c r="A9" s="41"/>
      <c r="B9" s="51" t="s">
        <v>6</v>
      </c>
      <c r="C9" s="48">
        <f>VLOOKUP($B9,Form_Semi!$C$2:$M$93,2,FALSE)</f>
        <v>3</v>
      </c>
      <c r="D9" s="9" t="s">
        <v>98</v>
      </c>
      <c r="E9" s="48">
        <f>VLOOKUP($B9,Form_Semi!$C$2:$M$93,3,FALSE)</f>
        <v>1</v>
      </c>
      <c r="F9" s="47" t="str">
        <f t="shared" si="1"/>
        <v>casa</v>
      </c>
      <c r="G9" s="48">
        <f>IF(C9=SEMI!C$23,IF(SEMI!E$23=E9,Pesos!$P$6,IF(F9=SEMI!F$23,Pesos!$P$3,0)),IF(F9=SEMI!F$23,Pesos!$P$3,0))*IF(COUNTIF(F$3:F$22,F9)=1,2,1)</f>
        <v>0</v>
      </c>
      <c r="H9" s="48">
        <f>VLOOKUP($B9,Form_Semi!$C$2:$M$93,7,FALSE)</f>
        <v>2</v>
      </c>
      <c r="I9" s="9" t="s">
        <v>98</v>
      </c>
      <c r="J9" s="48">
        <f>VLOOKUP($B9,Form_Semi!$C$2:$M$93,8,FALSE)</f>
        <v>1</v>
      </c>
      <c r="K9" s="47" t="str">
        <f t="shared" si="2"/>
        <v>casa</v>
      </c>
      <c r="L9" s="48">
        <f>IF(H9=SEMI!H$23,IF(SEMI!J$23=J9,Pesos!$P$6,IF(K9=SEMI!K$23,Pesos!$P$3,0)),IF(K9=SEMI!K$23,Pesos!$P$3,0))*IF(COUNTIF(K$3:K$22,K9)=1,2,1)</f>
        <v>0</v>
      </c>
      <c r="M9" s="41"/>
      <c r="N9" s="41"/>
      <c r="O9" s="41"/>
      <c r="P9" s="41"/>
    </row>
    <row r="10" ht="14.25" customHeight="1">
      <c r="A10" s="41"/>
      <c r="B10" s="52" t="s">
        <v>5</v>
      </c>
      <c r="C10" s="48">
        <f>VLOOKUP($B10,Form_Semi!$C$2:$M$93,2,FALSE)</f>
        <v>2</v>
      </c>
      <c r="D10" s="48" t="s">
        <v>98</v>
      </c>
      <c r="E10" s="48">
        <f>VLOOKUP($B10,Form_Semi!$C$2:$M$93,3,FALSE)</f>
        <v>2</v>
      </c>
      <c r="F10" s="47" t="str">
        <f t="shared" si="1"/>
        <v>empate</v>
      </c>
      <c r="G10" s="48">
        <f>IF(C10=SEMI!C$23,IF(SEMI!E$23=E10,Pesos!$P$6,IF(F10=SEMI!F$23,Pesos!$P$3,0)),IF(F10=SEMI!F$23,Pesos!$P$3,0))*IF(COUNTIF(F$3:F$22,F10)=1,2,1)</f>
        <v>0</v>
      </c>
      <c r="H10" s="48">
        <f>VLOOKUP($B10,Form_Semi!$C$2:$M$93,7,FALSE)</f>
        <v>3</v>
      </c>
      <c r="I10" s="48" t="s">
        <v>98</v>
      </c>
      <c r="J10" s="48">
        <f>VLOOKUP($B10,Form_Semi!$C$2:$M$93,8,FALSE)</f>
        <v>1</v>
      </c>
      <c r="K10" s="47" t="str">
        <f t="shared" si="2"/>
        <v>casa</v>
      </c>
      <c r="L10" s="48">
        <f>IF(H10=SEMI!H$23,IF(SEMI!J$23=J10,Pesos!$P$6,IF(K10=SEMI!K$23,Pesos!$P$3,0)),IF(K10=SEMI!K$23,Pesos!$P$3,0))*IF(COUNTIF(K$3:K$22,K10)=1,2,1)</f>
        <v>0</v>
      </c>
      <c r="M10" s="41"/>
      <c r="N10" s="41"/>
      <c r="O10" s="41"/>
      <c r="P10" s="41"/>
    </row>
    <row r="11" ht="14.25" customHeight="1">
      <c r="A11" s="41"/>
      <c r="B11" s="51" t="s">
        <v>4</v>
      </c>
      <c r="C11" s="48">
        <f>VLOOKUP($B11,Form_Semi!$C$2:$M$93,2,FALSE)</f>
        <v>1</v>
      </c>
      <c r="D11" s="48" t="s">
        <v>98</v>
      </c>
      <c r="E11" s="48">
        <f>VLOOKUP($B11,Form_Semi!$C$2:$M$93,3,FALSE)</f>
        <v>0</v>
      </c>
      <c r="F11" s="47" t="str">
        <f t="shared" si="1"/>
        <v>casa</v>
      </c>
      <c r="G11" s="48">
        <f>IF(C11=SEMI!C$23,IF(SEMI!E$23=E11,Pesos!$P$6,IF(F11=SEMI!F$23,Pesos!$P$3,0)),IF(F11=SEMI!F$23,Pesos!$P$3,0))*IF(COUNTIF(F$3:F$22,F11)=1,2,1)</f>
        <v>0</v>
      </c>
      <c r="H11" s="48">
        <f>VLOOKUP($B11,Form_Semi!$C$2:$M$93,7,FALSE)</f>
        <v>2</v>
      </c>
      <c r="I11" s="48" t="s">
        <v>98</v>
      </c>
      <c r="J11" s="48">
        <f>VLOOKUP($B11,Form_Semi!$C$2:$M$93,8,FALSE)</f>
        <v>0</v>
      </c>
      <c r="K11" s="47" t="str">
        <f t="shared" si="2"/>
        <v>casa</v>
      </c>
      <c r="L11" s="48">
        <f>IF(H11=SEMI!H$23,IF(SEMI!J$23=J11,Pesos!$P$6,IF(K11=SEMI!K$23,Pesos!$P$3,0)),IF(K11=SEMI!K$23,Pesos!$P$3,0))*IF(COUNTIF(K$3:K$22,K11)=1,2,1)</f>
        <v>0</v>
      </c>
      <c r="M11" s="41"/>
      <c r="N11" s="41"/>
      <c r="O11" s="41"/>
      <c r="P11" s="41"/>
    </row>
    <row r="12" ht="14.25" customHeight="1">
      <c r="A12" s="41"/>
      <c r="B12" s="51" t="s">
        <v>18</v>
      </c>
      <c r="C12" s="48">
        <f>VLOOKUP($B12,Form_Semi!$C$2:$M$93,2,FALSE)</f>
        <v>2</v>
      </c>
      <c r="D12" s="9" t="s">
        <v>98</v>
      </c>
      <c r="E12" s="48">
        <f>VLOOKUP($B12,Form_Semi!$C$2:$M$93,3,FALSE)</f>
        <v>2</v>
      </c>
      <c r="F12" s="47" t="str">
        <f t="shared" si="1"/>
        <v>empate</v>
      </c>
      <c r="G12" s="48">
        <f>IF(C12=SEMI!C$23,IF(SEMI!E$23=E12,Pesos!$P$6,IF(F12=SEMI!F$23,Pesos!$P$3,0)),IF(F12=SEMI!F$23,Pesos!$P$3,0))*IF(COUNTIF(F$3:F$22,F12)=1,2,1)</f>
        <v>0</v>
      </c>
      <c r="H12" s="48">
        <f>VLOOKUP($B12,Form_Semi!$C$2:$M$93,7,FALSE)</f>
        <v>2</v>
      </c>
      <c r="I12" s="9" t="s">
        <v>98</v>
      </c>
      <c r="J12" s="48">
        <f>VLOOKUP($B12,Form_Semi!$C$2:$M$93,8,FALSE)</f>
        <v>1</v>
      </c>
      <c r="K12" s="47" t="str">
        <f t="shared" si="2"/>
        <v>casa</v>
      </c>
      <c r="L12" s="48">
        <f>IF(H12=SEMI!H$23,IF(SEMI!J$23=J12,Pesos!$P$6,IF(K12=SEMI!K$23,Pesos!$P$3,0)),IF(K12=SEMI!K$23,Pesos!$P$3,0))*IF(COUNTIF(K$3:K$22,K12)=1,2,1)</f>
        <v>0</v>
      </c>
      <c r="M12" s="41"/>
      <c r="N12" s="41"/>
      <c r="O12" s="41"/>
      <c r="P12" s="41"/>
    </row>
    <row r="13" ht="14.25" customHeight="1">
      <c r="A13" s="41"/>
      <c r="B13" s="51" t="s">
        <v>2</v>
      </c>
      <c r="C13" s="48">
        <f>VLOOKUP($B13,Form_Semi!$C$2:$M$93,2,FALSE)</f>
        <v>2</v>
      </c>
      <c r="D13" s="9" t="s">
        <v>98</v>
      </c>
      <c r="E13" s="48">
        <f>VLOOKUP($B13,Form_Semi!$C$2:$M$93,3,FALSE)</f>
        <v>1</v>
      </c>
      <c r="F13" s="47" t="str">
        <f t="shared" si="1"/>
        <v>casa</v>
      </c>
      <c r="G13" s="48">
        <f>IF(C13=SEMI!C$23,IF(SEMI!E$23=E13,Pesos!$P$6,IF(F13=SEMI!F$23,Pesos!$P$3,0)),IF(F13=SEMI!F$23,Pesos!$P$3,0))*IF(COUNTIF(F$3:F$22,F13)=1,2,1)</f>
        <v>0</v>
      </c>
      <c r="H13" s="48">
        <f>VLOOKUP($B13,Form_Semi!$C$2:$M$93,7,FALSE)</f>
        <v>1</v>
      </c>
      <c r="I13" s="9" t="s">
        <v>98</v>
      </c>
      <c r="J13" s="48">
        <f>VLOOKUP($B13,Form_Semi!$C$2:$M$93,8,FALSE)</f>
        <v>1</v>
      </c>
      <c r="K13" s="47" t="str">
        <f t="shared" si="2"/>
        <v>empate</v>
      </c>
      <c r="L13" s="48">
        <f>IF(H13=SEMI!H$23,IF(SEMI!J$23=J13,Pesos!$P$6,IF(K13=SEMI!K$23,Pesos!$P$3,0)),IF(K13=SEMI!K$23,Pesos!$P$3,0))*IF(COUNTIF(K$3:K$22,K13)=1,2,1)</f>
        <v>2.08</v>
      </c>
      <c r="M13" s="41"/>
      <c r="N13" s="41"/>
      <c r="O13" s="41"/>
      <c r="P13" s="41"/>
    </row>
    <row r="14" ht="14.25" customHeight="1">
      <c r="A14" s="41"/>
      <c r="B14" s="51" t="s">
        <v>15</v>
      </c>
      <c r="C14" s="48">
        <f>VLOOKUP($B14,Form_Semi!$C$2:$M$93,2,FALSE)</f>
        <v>3</v>
      </c>
      <c r="D14" s="48" t="s">
        <v>98</v>
      </c>
      <c r="E14" s="48">
        <f>VLOOKUP($B14,Form_Semi!$C$2:$M$93,3,FALSE)</f>
        <v>1</v>
      </c>
      <c r="F14" s="47" t="str">
        <f t="shared" si="1"/>
        <v>casa</v>
      </c>
      <c r="G14" s="48">
        <f>IF(C14=SEMI!C$23,IF(SEMI!E$23=E14,Pesos!$P$6,IF(F14=SEMI!F$23,Pesos!$P$3,0)),IF(F14=SEMI!F$23,Pesos!$P$3,0))*IF(COUNTIF(F$3:F$22,F14)=1,2,1)</f>
        <v>0</v>
      </c>
      <c r="H14" s="48">
        <f>VLOOKUP($B14,Form_Semi!$C$2:$M$93,7,FALSE)</f>
        <v>2</v>
      </c>
      <c r="I14" s="9" t="s">
        <v>98</v>
      </c>
      <c r="J14" s="48">
        <f>VLOOKUP($B14,Form_Semi!$C$2:$M$93,8,FALSE)</f>
        <v>1</v>
      </c>
      <c r="K14" s="47" t="str">
        <f t="shared" si="2"/>
        <v>casa</v>
      </c>
      <c r="L14" s="48">
        <f>IF(H14=SEMI!H$23,IF(SEMI!J$23=J14,Pesos!$P$6,IF(K14=SEMI!K$23,Pesos!$P$3,0)),IF(K14=SEMI!K$23,Pesos!$P$3,0))*IF(COUNTIF(K$3:K$22,K14)=1,2,1)</f>
        <v>0</v>
      </c>
      <c r="M14" s="41"/>
      <c r="N14" s="41"/>
      <c r="O14" s="41"/>
      <c r="P14" s="41"/>
    </row>
    <row r="15" ht="14.25" customHeight="1">
      <c r="A15" s="41"/>
      <c r="B15" s="51" t="s">
        <v>12</v>
      </c>
      <c r="C15" s="48">
        <f>VLOOKUP($B15,Form_Semi!$C$2:$M$93,2,FALSE)</f>
        <v>2</v>
      </c>
      <c r="D15" s="48" t="s">
        <v>98</v>
      </c>
      <c r="E15" s="48">
        <f>VLOOKUP($B15,Form_Semi!$C$2:$M$93,3,FALSE)</f>
        <v>0</v>
      </c>
      <c r="F15" s="47" t="str">
        <f t="shared" si="1"/>
        <v>casa</v>
      </c>
      <c r="G15" s="48">
        <f>IF(C15=SEMI!C$23,IF(SEMI!E$23=E15,Pesos!$P$6,IF(F15=SEMI!F$23,Pesos!$P$3,0)),IF(F15=SEMI!F$23,Pesos!$P$3,0))*IF(COUNTIF(F$3:F$22,F15)=1,2,1)</f>
        <v>0</v>
      </c>
      <c r="H15" s="48">
        <f>VLOOKUP($B15,Form_Semi!$C$2:$M$93,7,FALSE)</f>
        <v>3</v>
      </c>
      <c r="I15" s="9" t="s">
        <v>98</v>
      </c>
      <c r="J15" s="48">
        <f>VLOOKUP($B15,Form_Semi!$C$2:$M$93,8,FALSE)</f>
        <v>1</v>
      </c>
      <c r="K15" s="47" t="str">
        <f t="shared" si="2"/>
        <v>casa</v>
      </c>
      <c r="L15" s="48">
        <f>IF(H15=SEMI!H$23,IF(SEMI!J$23=J15,Pesos!$P$6,IF(K15=SEMI!K$23,Pesos!$P$3,0)),IF(K15=SEMI!K$23,Pesos!$P$3,0))*IF(COUNTIF(K$3:K$22,K15)=1,2,1)</f>
        <v>0</v>
      </c>
      <c r="M15" s="41"/>
      <c r="N15" s="41"/>
      <c r="O15" s="41"/>
      <c r="P15" s="41"/>
    </row>
    <row r="16" ht="14.25" customHeight="1">
      <c r="A16" s="41"/>
      <c r="B16" s="51" t="s">
        <v>8</v>
      </c>
      <c r="C16" s="48">
        <f>VLOOKUP($B16,Form_Semi!$C$2:$M$93,2,FALSE)</f>
        <v>3</v>
      </c>
      <c r="D16" s="48" t="s">
        <v>98</v>
      </c>
      <c r="E16" s="48">
        <f>VLOOKUP($B16,Form_Semi!$C$2:$M$93,3,FALSE)</f>
        <v>1</v>
      </c>
      <c r="F16" s="47" t="str">
        <f t="shared" si="1"/>
        <v>casa</v>
      </c>
      <c r="G16" s="48">
        <f>IF(C16=SEMI!C$23,IF(SEMI!E$23=E16,Pesos!$P$6,IF(F16=SEMI!F$23,Pesos!$P$3,0)),IF(F16=SEMI!F$23,Pesos!$P$3,0))*IF(COUNTIF(F$3:F$22,F16)=1,2,1)</f>
        <v>0</v>
      </c>
      <c r="H16" s="48">
        <f>VLOOKUP($B16,Form_Semi!$C$2:$M$93,7,FALSE)</f>
        <v>2</v>
      </c>
      <c r="I16" s="9" t="s">
        <v>98</v>
      </c>
      <c r="J16" s="48">
        <f>VLOOKUP($B16,Form_Semi!$C$2:$M$93,8,FALSE)</f>
        <v>1</v>
      </c>
      <c r="K16" s="47" t="str">
        <f t="shared" si="2"/>
        <v>casa</v>
      </c>
      <c r="L16" s="48">
        <f>IF(H16=SEMI!H$23,IF(SEMI!J$23=J16,Pesos!$P$6,IF(K16=SEMI!K$23,Pesos!$P$3,0)),IF(K16=SEMI!K$23,Pesos!$P$3,0))*IF(COUNTIF(K$3:K$22,K16)=1,2,1)</f>
        <v>0</v>
      </c>
      <c r="M16" s="41"/>
      <c r="N16" s="41"/>
      <c r="O16" s="41"/>
      <c r="P16" s="41"/>
    </row>
    <row r="17" ht="14.25" customHeight="1">
      <c r="A17" s="41"/>
      <c r="B17" s="51" t="s">
        <v>16</v>
      </c>
      <c r="C17" s="48">
        <f>VLOOKUP($B17,Form_Semi!$C$2:$M$93,2,FALSE)</f>
        <v>1</v>
      </c>
      <c r="D17" s="48" t="s">
        <v>98</v>
      </c>
      <c r="E17" s="48">
        <f>VLOOKUP($B17,Form_Semi!$C$2:$M$93,3,FALSE)</f>
        <v>2</v>
      </c>
      <c r="F17" s="47" t="str">
        <f t="shared" si="1"/>
        <v>visita</v>
      </c>
      <c r="G17" s="48">
        <f>IF(C17=SEMI!C$23,IF(SEMI!E$23=E17,Pesos!$P$6,IF(F17=SEMI!F$23,Pesos!$P$3,0)),IF(F17=SEMI!F$23,Pesos!$P$3,0))*IF(COUNTIF(F$3:F$22,F17)=1,2,1)</f>
        <v>4.16</v>
      </c>
      <c r="H17" s="48">
        <f>VLOOKUP($B17,Form_Semi!$C$2:$M$93,7,FALSE)</f>
        <v>1</v>
      </c>
      <c r="I17" s="9" t="s">
        <v>98</v>
      </c>
      <c r="J17" s="48">
        <f>VLOOKUP($B17,Form_Semi!$C$2:$M$93,8,FALSE)</f>
        <v>2</v>
      </c>
      <c r="K17" s="47" t="str">
        <f t="shared" si="2"/>
        <v>visita</v>
      </c>
      <c r="L17" s="48">
        <f>IF(H17=SEMI!H$23,IF(SEMI!J$23=J17,Pesos!$P$6,IF(K17=SEMI!K$23,Pesos!$P$3,0)),IF(K17=SEMI!K$23,Pesos!$P$3,0))*IF(COUNTIF(K$3:K$22,K17)=1,2,1)</f>
        <v>0</v>
      </c>
      <c r="M17" s="41"/>
      <c r="N17" s="41"/>
      <c r="O17" s="41"/>
      <c r="P17" s="41"/>
    </row>
    <row r="18" ht="14.25" customHeight="1">
      <c r="A18" s="41"/>
      <c r="B18" s="51" t="s">
        <v>11</v>
      </c>
      <c r="C18" s="48">
        <f>VLOOKUP($B18,Form_Semi!$C$2:$M$93,2,FALSE)</f>
        <v>1</v>
      </c>
      <c r="D18" s="48" t="s">
        <v>98</v>
      </c>
      <c r="E18" s="48">
        <f>VLOOKUP($B18,Form_Semi!$C$2:$M$93,3,FALSE)</f>
        <v>0</v>
      </c>
      <c r="F18" s="47" t="str">
        <f t="shared" si="1"/>
        <v>casa</v>
      </c>
      <c r="G18" s="48">
        <f>IF(C18=SEMI!C$23,IF(SEMI!E$23=E18,Pesos!$P$6,IF(F18=SEMI!F$23,Pesos!$P$3,0)),IF(F18=SEMI!F$23,Pesos!$P$3,0))*IF(COUNTIF(F$3:F$22,F18)=1,2,1)</f>
        <v>0</v>
      </c>
      <c r="H18" s="48">
        <f>VLOOKUP($B18,Form_Semi!$C$2:$M$93,7,FALSE)</f>
        <v>2</v>
      </c>
      <c r="I18" s="9" t="s">
        <v>98</v>
      </c>
      <c r="J18" s="48">
        <f>VLOOKUP($B18,Form_Semi!$C$2:$M$93,8,FALSE)</f>
        <v>1</v>
      </c>
      <c r="K18" s="47" t="str">
        <f t="shared" si="2"/>
        <v>casa</v>
      </c>
      <c r="L18" s="48">
        <f>IF(H18=SEMI!H$23,IF(SEMI!J$23=J18,Pesos!$P$6,IF(K18=SEMI!K$23,Pesos!$P$3,0)),IF(K18=SEMI!K$23,Pesos!$P$3,0))*IF(COUNTIF(K$3:K$22,K18)=1,2,1)</f>
        <v>0</v>
      </c>
      <c r="M18" s="41"/>
      <c r="N18" s="41"/>
      <c r="O18" s="41"/>
      <c r="P18" s="41"/>
    </row>
    <row r="19" ht="14.25" customHeight="1">
      <c r="A19" s="41"/>
      <c r="B19" s="51" t="s">
        <v>7</v>
      </c>
      <c r="C19" s="48">
        <f>VLOOKUP($B19,Form_Semi!$C$2:$M$93,2,FALSE)</f>
        <v>2</v>
      </c>
      <c r="D19" s="48" t="s">
        <v>98</v>
      </c>
      <c r="E19" s="48">
        <f>VLOOKUP($B19,Form_Semi!$C$2:$M$93,3,FALSE)</f>
        <v>2</v>
      </c>
      <c r="F19" s="47" t="str">
        <f t="shared" si="1"/>
        <v>empate</v>
      </c>
      <c r="G19" s="48">
        <f>IF(C19=SEMI!C$23,IF(SEMI!E$23=E19,Pesos!$P$6,IF(F19=SEMI!F$23,Pesos!$P$3,0)),IF(F19=SEMI!F$23,Pesos!$P$3,0))*IF(COUNTIF(F$3:F$22,F19)=1,2,1)</f>
        <v>0</v>
      </c>
      <c r="H19" s="48">
        <f>VLOOKUP($B19,Form_Semi!$C$2:$M$93,7,FALSE)</f>
        <v>3</v>
      </c>
      <c r="I19" s="9" t="s">
        <v>98</v>
      </c>
      <c r="J19" s="48">
        <f>VLOOKUP($B19,Form_Semi!$C$2:$M$93,8,FALSE)</f>
        <v>1</v>
      </c>
      <c r="K19" s="47" t="str">
        <f t="shared" si="2"/>
        <v>casa</v>
      </c>
      <c r="L19" s="48">
        <f>IF(H19=SEMI!H$23,IF(SEMI!J$23=J19,Pesos!$P$6,IF(K19=SEMI!K$23,Pesos!$P$3,0)),IF(K19=SEMI!K$23,Pesos!$P$3,0))*IF(COUNTIF(K$3:K$22,K19)=1,2,1)</f>
        <v>0</v>
      </c>
      <c r="M19" s="41"/>
      <c r="N19" s="41"/>
      <c r="O19" s="41"/>
      <c r="P19" s="41"/>
    </row>
    <row r="20" ht="14.25" customHeight="1">
      <c r="A20" s="56"/>
      <c r="B20" s="51" t="s">
        <v>19</v>
      </c>
      <c r="C20" s="48">
        <f>VLOOKUP($B20,Form_Semi!$C$2:$M$93,2,FALSE)</f>
        <v>2</v>
      </c>
      <c r="D20" s="48" t="s">
        <v>98</v>
      </c>
      <c r="E20" s="48">
        <f>VLOOKUP($B20,Form_Semi!$C$2:$M$93,3,FALSE)</f>
        <v>1</v>
      </c>
      <c r="F20" s="47" t="str">
        <f t="shared" si="1"/>
        <v>casa</v>
      </c>
      <c r="G20" s="48">
        <f>IF(C20=SEMI!C$23,IF(SEMI!E$23=E20,Pesos!$P$6,IF(F20=SEMI!F$23,Pesos!$P$3,0)),IF(F20=SEMI!F$23,Pesos!$P$3,0))*IF(COUNTIF(F$3:F$22,F20)=1,2,1)</f>
        <v>0</v>
      </c>
      <c r="H20" s="48">
        <f>VLOOKUP($B20,Form_Semi!$C$2:$M$93,7,FALSE)</f>
        <v>3</v>
      </c>
      <c r="I20" s="46" t="s">
        <v>98</v>
      </c>
      <c r="J20" s="48">
        <f>VLOOKUP($B20,Form_Semi!$C$2:$M$93,8,FALSE)</f>
        <v>1</v>
      </c>
      <c r="K20" s="47" t="str">
        <f t="shared" si="2"/>
        <v>casa</v>
      </c>
      <c r="L20" s="48">
        <f>IF(H20=SEMI!H$23,IF(SEMI!J$23=J20,Pesos!$P$6,IF(K20=SEMI!K$23,Pesos!$P$3,0)),IF(K20=SEMI!K$23,Pesos!$P$3,0))*IF(COUNTIF(K$3:K$22,K20)=1,2,1)</f>
        <v>0</v>
      </c>
      <c r="M20" s="56"/>
      <c r="N20" s="56"/>
      <c r="O20" s="56"/>
      <c r="P20" s="56"/>
    </row>
    <row r="21" ht="14.25" customHeight="1">
      <c r="A21" s="56"/>
      <c r="B21" s="52" t="s">
        <v>20</v>
      </c>
      <c r="C21" s="48">
        <f>VLOOKUP($B21,Form_Semi!$C$2:$M$93,2,FALSE)</f>
        <v>3</v>
      </c>
      <c r="D21" s="57" t="s">
        <v>98</v>
      </c>
      <c r="E21" s="48">
        <f>VLOOKUP($B21,Form_Semi!$C$2:$M$93,3,FALSE)</f>
        <v>0</v>
      </c>
      <c r="F21" s="47" t="str">
        <f t="shared" si="1"/>
        <v>casa</v>
      </c>
      <c r="G21" s="48">
        <f>IF(C21=SEMI!C$23,IF(SEMI!E$23=E21,Pesos!$P$6,IF(F21=SEMI!F$23,Pesos!$P$3,0)),IF(F21=SEMI!F$23,Pesos!$P$3,0))*IF(COUNTIF(F$3:F$22,F21)=1,2,1)</f>
        <v>0</v>
      </c>
      <c r="H21" s="48">
        <f>VLOOKUP($B21,Form_Semi!$C$2:$M$93,7,FALSE)</f>
        <v>3</v>
      </c>
      <c r="I21" s="46" t="s">
        <v>98</v>
      </c>
      <c r="J21" s="48">
        <f>VLOOKUP($B21,Form_Semi!$C$2:$M$93,8,FALSE)</f>
        <v>1</v>
      </c>
      <c r="K21" s="47" t="str">
        <f t="shared" si="2"/>
        <v>casa</v>
      </c>
      <c r="L21" s="48">
        <f>IF(H21=SEMI!H$23,IF(SEMI!J$23=J21,Pesos!$P$6,IF(K21=SEMI!K$23,Pesos!$P$3,0)),IF(K21=SEMI!K$23,Pesos!$P$3,0))*IF(COUNTIF(K$3:K$22,K21)=1,2,1)</f>
        <v>0</v>
      </c>
      <c r="M21" s="56"/>
      <c r="N21" s="56"/>
      <c r="O21" s="56"/>
      <c r="P21" s="56"/>
    </row>
    <row r="22" ht="14.25" customHeight="1">
      <c r="A22" s="56"/>
      <c r="B22" s="52" t="s">
        <v>21</v>
      </c>
      <c r="C22" s="48">
        <f>VLOOKUP($B22,Form_Semi!$C$2:$M$93,2,FALSE)</f>
        <v>3</v>
      </c>
      <c r="D22" s="57" t="s">
        <v>98</v>
      </c>
      <c r="E22" s="48">
        <f>VLOOKUP($B22,Form_Semi!$C$2:$M$93,3,FALSE)</f>
        <v>1</v>
      </c>
      <c r="F22" s="47" t="str">
        <f t="shared" si="1"/>
        <v>casa</v>
      </c>
      <c r="G22" s="48">
        <f>IF(C22=SEMI!C$23,IF(SEMI!E$23=E22,Pesos!$P$6,IF(F22=SEMI!F$23,Pesos!$P$3,0)),IF(F22=SEMI!F$23,Pesos!$P$3,0))*IF(COUNTIF(F$3:F$22,F22)=1,2,1)</f>
        <v>0</v>
      </c>
      <c r="H22" s="48">
        <f>VLOOKUP($B22,Form_Semi!$C$2:$M$93,7,FALSE)</f>
        <v>1</v>
      </c>
      <c r="I22" s="46" t="s">
        <v>98</v>
      </c>
      <c r="J22" s="48">
        <f>VLOOKUP($B22,Form_Semi!$C$2:$M$93,8,FALSE)</f>
        <v>1</v>
      </c>
      <c r="K22" s="47" t="str">
        <f t="shared" si="2"/>
        <v>empate</v>
      </c>
      <c r="L22" s="48">
        <f>IF(H22=SEMI!H$23,IF(SEMI!J$23=J22,Pesos!$P$6,IF(K22=SEMI!K$23,Pesos!$P$3,0)),IF(K22=SEMI!K$23,Pesos!$P$3,0))*IF(COUNTIF(K$3:K$22,K22)=1,2,1)</f>
        <v>2.08</v>
      </c>
      <c r="M22" s="56"/>
      <c r="N22" s="56"/>
      <c r="O22" s="56"/>
      <c r="P22" s="56"/>
    </row>
    <row r="23" ht="14.25" customHeight="1">
      <c r="A23" s="56"/>
      <c r="B23" s="58" t="s">
        <v>1</v>
      </c>
      <c r="C23" s="54">
        <v>0.0</v>
      </c>
      <c r="D23" s="54" t="s">
        <v>98</v>
      </c>
      <c r="E23" s="54">
        <v>1.0</v>
      </c>
      <c r="F23" s="55" t="str">
        <f>if(E23="","",IF(C23&gt;E23,"casa",IF(C23=E23,"empate","visita")))</f>
        <v>visita</v>
      </c>
      <c r="G23" s="55"/>
      <c r="H23" s="54">
        <v>3.0</v>
      </c>
      <c r="I23" s="76" t="s">
        <v>98</v>
      </c>
      <c r="J23" s="54">
        <v>3.0</v>
      </c>
      <c r="K23" s="55" t="str">
        <f>if(J23="","",IF(H23&gt;J23,"casa",IF(H23=J23,"empate","visita")))</f>
        <v>empate</v>
      </c>
      <c r="L23" s="55"/>
      <c r="M23" s="56"/>
      <c r="N23" s="56"/>
      <c r="O23" s="56"/>
      <c r="P23" s="56"/>
    </row>
    <row r="24" ht="14.25" customHeight="1">
      <c r="A24" s="41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  <c r="N24" s="41"/>
      <c r="O24" s="41"/>
      <c r="P24" s="41"/>
    </row>
    <row r="25" ht="14.25" customHeight="1">
      <c r="A25" s="41"/>
      <c r="B25" s="40"/>
      <c r="C25" s="42" t="s">
        <v>136</v>
      </c>
      <c r="D25" s="43"/>
      <c r="E25" s="44"/>
      <c r="F25" s="1"/>
      <c r="G25" s="1"/>
      <c r="H25" s="42" t="s">
        <v>137</v>
      </c>
      <c r="I25" s="43"/>
      <c r="J25" s="44"/>
      <c r="K25" s="1"/>
      <c r="L25" s="1"/>
      <c r="M25" s="41"/>
      <c r="N25" s="41"/>
      <c r="O25" s="41"/>
      <c r="P25" s="41"/>
    </row>
    <row r="26" ht="14.25" customHeight="1">
      <c r="A26" s="41"/>
      <c r="B26" s="51" t="s">
        <v>9</v>
      </c>
      <c r="C26" s="9">
        <f>VLOOKUP($B26,Form_Semi!$C$2:$M$93,4,FALSE)</f>
        <v>3</v>
      </c>
      <c r="D26" s="9" t="s">
        <v>98</v>
      </c>
      <c r="E26" s="9">
        <f>VLOOKUP($B26,Form_Semi!$C$2:$M$93,5,FALSE)</f>
        <v>1</v>
      </c>
      <c r="F26" s="47" t="str">
        <f t="shared" ref="F26:F45" si="3">IF(C26&gt;E26,"casa",IF(C26=E26,"empate","visita"))</f>
        <v>casa</v>
      </c>
      <c r="G26" s="48">
        <f>IF(C26=SEMI!C$46,IF(SEMI!E$46=E26,Pesos!$P$6,IF(F26=SEMI!F$46,Pesos!$P$3,0)),IF(F26=SEMI!F$46,Pesos!$P$3,0))*IF(COUNTIF(F$26:F$45,F26)=1,2,1)</f>
        <v>2.08</v>
      </c>
      <c r="H26" s="48">
        <f>VLOOKUP($B26,Form_Semi!$C$2:$M$93,9,FALSE)</f>
        <v>1</v>
      </c>
      <c r="I26" s="9" t="s">
        <v>98</v>
      </c>
      <c r="J26" s="48">
        <f>VLOOKUP($B26,Form_Semi!$C$2:$M$93,10,FALSE)</f>
        <v>2</v>
      </c>
      <c r="K26" s="47" t="str">
        <f t="shared" ref="K26:K45" si="4">IF(H26&gt;J26,"casa",IF(H26=J26,"empate","visita"))</f>
        <v>visita</v>
      </c>
      <c r="L26" s="48">
        <f>IF(H26=SEMI!H$46,IF(SEMI!J$46=J26,Pesos!$P$6,IF(K26=SEMI!K$46,Pesos!$P$3,0)),IF(K26=SEMI!K$46,Pesos!$P$3,0))*IF(COUNTIF(K$26:K$45,K26)=1,2,1)</f>
        <v>0</v>
      </c>
      <c r="M26" s="41"/>
      <c r="N26" s="41"/>
      <c r="O26" s="41"/>
      <c r="P26" s="41"/>
    </row>
    <row r="27" ht="14.25" customHeight="1">
      <c r="A27" s="41"/>
      <c r="B27" s="51" t="s">
        <v>10</v>
      </c>
      <c r="C27" s="9">
        <f>VLOOKUP($B27,Form_Semi!$C$2:$M$93,4,FALSE)</f>
        <v>3</v>
      </c>
      <c r="D27" s="48" t="s">
        <v>98</v>
      </c>
      <c r="E27" s="9">
        <f>VLOOKUP($B27,Form_Semi!$C$2:$M$93,5,FALSE)</f>
        <v>1</v>
      </c>
      <c r="F27" s="47" t="str">
        <f t="shared" si="3"/>
        <v>casa</v>
      </c>
      <c r="G27" s="48">
        <f>IF(C27=SEMI!C$46,IF(SEMI!E$46=E27,Pesos!$P$6,IF(F27=SEMI!F$46,Pesos!$P$3,0)),IF(F27=SEMI!F$46,Pesos!$P$3,0))*IF(COUNTIF(F$26:F$45,F27)=1,2,1)</f>
        <v>2.08</v>
      </c>
      <c r="H27" s="48">
        <f>VLOOKUP($B27,Form_Semi!$C$2:$M$93,9,FALSE)</f>
        <v>2</v>
      </c>
      <c r="I27" s="48" t="s">
        <v>98</v>
      </c>
      <c r="J27" s="48">
        <f>VLOOKUP($B27,Form_Semi!$C$2:$M$93,10,FALSE)</f>
        <v>1</v>
      </c>
      <c r="K27" s="47" t="str">
        <f t="shared" si="4"/>
        <v>casa</v>
      </c>
      <c r="L27" s="48">
        <f>IF(H27=SEMI!H$46,IF(SEMI!J$46=J27,Pesos!$P$6,IF(K27=SEMI!K$46,Pesos!$P$3,0)),IF(K27=SEMI!K$46,Pesos!$P$3,0))*IF(COUNTIF(K$26:K$45,K27)=1,2,1)</f>
        <v>0</v>
      </c>
      <c r="M27" s="41"/>
      <c r="N27" s="41"/>
      <c r="O27" s="41"/>
      <c r="P27" s="41"/>
    </row>
    <row r="28" ht="14.25" customHeight="1">
      <c r="A28" s="41"/>
      <c r="B28" s="51" t="s">
        <v>17</v>
      </c>
      <c r="C28" s="9">
        <f>VLOOKUP($B28,Form_Semi!$C$2:$M$93,4,FALSE)</f>
        <v>2</v>
      </c>
      <c r="D28" s="9" t="s">
        <v>98</v>
      </c>
      <c r="E28" s="9">
        <f>VLOOKUP($B28,Form_Semi!$C$2:$M$93,5,FALSE)</f>
        <v>0</v>
      </c>
      <c r="F28" s="47" t="str">
        <f t="shared" si="3"/>
        <v>casa</v>
      </c>
      <c r="G28" s="48">
        <f>IF(C28=SEMI!C$46,IF(SEMI!E$46=E28,Pesos!$P$6,IF(F28=SEMI!F$46,Pesos!$P$3,0)),IF(F28=SEMI!F$46,Pesos!$P$3,0))*IF(COUNTIF(F$26:F$45,F28)=1,2,1)</f>
        <v>2.08</v>
      </c>
      <c r="H28" s="48">
        <f>VLOOKUP($B28,Form_Semi!$C$2:$M$93,9,FALSE)</f>
        <v>2</v>
      </c>
      <c r="I28" s="9" t="s">
        <v>98</v>
      </c>
      <c r="J28" s="48">
        <f>VLOOKUP($B28,Form_Semi!$C$2:$M$93,10,FALSE)</f>
        <v>2</v>
      </c>
      <c r="K28" s="47" t="str">
        <f t="shared" si="4"/>
        <v>empate</v>
      </c>
      <c r="L28" s="48">
        <f>IF(H28=SEMI!H$46,IF(SEMI!J$46=J28,Pesos!$P$6,IF(K28=SEMI!K$46,Pesos!$P$3,0)),IF(K28=SEMI!K$46,Pesos!$P$3,0))*IF(COUNTIF(K$26:K$45,K28)=1,2,1)</f>
        <v>2.08</v>
      </c>
      <c r="M28" s="41"/>
      <c r="N28" s="41"/>
      <c r="O28" s="41"/>
      <c r="P28" s="41"/>
    </row>
    <row r="29" ht="14.25" customHeight="1">
      <c r="A29" s="41"/>
      <c r="B29" s="51" t="s">
        <v>3</v>
      </c>
      <c r="C29" s="9">
        <f>VLOOKUP($B29,Form_Semi!$C$2:$M$93,4,FALSE)</f>
        <v>3</v>
      </c>
      <c r="D29" s="9" t="s">
        <v>98</v>
      </c>
      <c r="E29" s="9">
        <f>VLOOKUP($B29,Form_Semi!$C$2:$M$93,5,FALSE)</f>
        <v>1</v>
      </c>
      <c r="F29" s="47" t="str">
        <f t="shared" si="3"/>
        <v>casa</v>
      </c>
      <c r="G29" s="48">
        <f>IF(C29=SEMI!C$46,IF(SEMI!E$46=E29,Pesos!$P$6,IF(F29=SEMI!F$46,Pesos!$P$3,0)),IF(F29=SEMI!F$46,Pesos!$P$3,0))*IF(COUNTIF(F$26:F$45,F29)=1,2,1)</f>
        <v>2.08</v>
      </c>
      <c r="H29" s="48">
        <f>VLOOKUP($B29,Form_Semi!$C$2:$M$93,9,FALSE)</f>
        <v>1</v>
      </c>
      <c r="I29" s="9" t="s">
        <v>98</v>
      </c>
      <c r="J29" s="48">
        <f>VLOOKUP($B29,Form_Semi!$C$2:$M$93,10,FALSE)</f>
        <v>2</v>
      </c>
      <c r="K29" s="47" t="str">
        <f t="shared" si="4"/>
        <v>visita</v>
      </c>
      <c r="L29" s="48">
        <f>IF(H29=SEMI!H$46,IF(SEMI!J$46=J29,Pesos!$P$6,IF(K29=SEMI!K$46,Pesos!$P$3,0)),IF(K29=SEMI!K$46,Pesos!$P$3,0))*IF(COUNTIF(K$26:K$45,K29)=1,2,1)</f>
        <v>0</v>
      </c>
      <c r="M29" s="41"/>
      <c r="N29" s="41"/>
      <c r="O29" s="41"/>
      <c r="P29" s="41"/>
    </row>
    <row r="30" ht="14.25" customHeight="1">
      <c r="A30" s="41"/>
      <c r="B30" s="51" t="s">
        <v>13</v>
      </c>
      <c r="C30" s="9">
        <f>VLOOKUP($B30,Form_Semi!$C$2:$M$93,4,FALSE)</f>
        <v>1</v>
      </c>
      <c r="D30" s="9" t="s">
        <v>98</v>
      </c>
      <c r="E30" s="9">
        <f>VLOOKUP($B30,Form_Semi!$C$2:$M$93,5,FALSE)</f>
        <v>0</v>
      </c>
      <c r="F30" s="47" t="str">
        <f t="shared" si="3"/>
        <v>casa</v>
      </c>
      <c r="G30" s="48">
        <f>IF(C30=SEMI!C$46,IF(SEMI!E$46=E30,Pesos!$P$6,IF(F30=SEMI!F$46,Pesos!$P$3,0)),IF(F30=SEMI!F$46,Pesos!$P$3,0))*IF(COUNTIF(F$26:F$45,F30)=1,2,1)</f>
        <v>2.08</v>
      </c>
      <c r="H30" s="48">
        <f>VLOOKUP($B30,Form_Semi!$C$2:$M$93,9,FALSE)</f>
        <v>1</v>
      </c>
      <c r="I30" s="9" t="s">
        <v>98</v>
      </c>
      <c r="J30" s="48">
        <f>VLOOKUP($B30,Form_Semi!$C$2:$M$93,10,FALSE)</f>
        <v>1</v>
      </c>
      <c r="K30" s="47" t="str">
        <f t="shared" si="4"/>
        <v>empate</v>
      </c>
      <c r="L30" s="48">
        <f>IF(H30=SEMI!H$46,IF(SEMI!J$46=J30,Pesos!$P$6,IF(K30=SEMI!K$46,Pesos!$P$3,0)),IF(K30=SEMI!K$46,Pesos!$P$3,0))*IF(COUNTIF(K$26:K$45,K30)=1,2,1)</f>
        <v>2.08</v>
      </c>
      <c r="M30" s="41"/>
      <c r="N30" s="41"/>
      <c r="O30" s="41"/>
      <c r="P30" s="41"/>
    </row>
    <row r="31" ht="14.25" customHeight="1">
      <c r="A31" s="41"/>
      <c r="B31" s="51" t="s">
        <v>14</v>
      </c>
      <c r="C31" s="9">
        <f>VLOOKUP($B31,Form_Semi!$C$2:$M$93,4,FALSE)</f>
        <v>1</v>
      </c>
      <c r="D31" s="9" t="s">
        <v>98</v>
      </c>
      <c r="E31" s="9">
        <f>VLOOKUP($B31,Form_Semi!$C$2:$M$93,5,FALSE)</f>
        <v>2</v>
      </c>
      <c r="F31" s="47" t="str">
        <f t="shared" si="3"/>
        <v>visita</v>
      </c>
      <c r="G31" s="48">
        <f>IF(C31=SEMI!C$46,IF(SEMI!E$46=E31,Pesos!$P$6,IF(F31=SEMI!F$46,Pesos!$P$3,0)),IF(F31=SEMI!F$46,Pesos!$P$3,0))*IF(COUNTIF(F$26:F$45,F31)=1,2,1)</f>
        <v>0</v>
      </c>
      <c r="H31" s="48">
        <f>VLOOKUP($B31,Form_Semi!$C$2:$M$93,9,FALSE)</f>
        <v>2</v>
      </c>
      <c r="I31" s="9" t="s">
        <v>98</v>
      </c>
      <c r="J31" s="48">
        <f>VLOOKUP($B31,Form_Semi!$C$2:$M$93,10,FALSE)</f>
        <v>2</v>
      </c>
      <c r="K31" s="47" t="str">
        <f t="shared" si="4"/>
        <v>empate</v>
      </c>
      <c r="L31" s="48">
        <f>IF(H31=SEMI!H$46,IF(SEMI!J$46=J31,Pesos!$P$6,IF(K31=SEMI!K$46,Pesos!$P$3,0)),IF(K31=SEMI!K$46,Pesos!$P$3,0))*IF(COUNTIF(K$26:K$45,K31)=1,2,1)</f>
        <v>2.08</v>
      </c>
      <c r="M31" s="41"/>
      <c r="N31" s="41"/>
      <c r="O31" s="41"/>
      <c r="P31" s="41"/>
    </row>
    <row r="32" ht="14.25" customHeight="1">
      <c r="A32" s="41"/>
      <c r="B32" s="51" t="s">
        <v>6</v>
      </c>
      <c r="C32" s="9">
        <f>VLOOKUP($B32,Form_Semi!$C$2:$M$93,4,FALSE)</f>
        <v>2</v>
      </c>
      <c r="D32" s="48" t="s">
        <v>98</v>
      </c>
      <c r="E32" s="9">
        <f>VLOOKUP($B32,Form_Semi!$C$2:$M$93,5,FALSE)</f>
        <v>2</v>
      </c>
      <c r="F32" s="47" t="str">
        <f t="shared" si="3"/>
        <v>empate</v>
      </c>
      <c r="G32" s="48">
        <f>IF(C32=SEMI!C$46,IF(SEMI!E$46=E32,Pesos!$P$6,IF(F32=SEMI!F$46,Pesos!$P$3,0)),IF(F32=SEMI!F$46,Pesos!$P$3,0))*IF(COUNTIF(F$26:F$45,F32)=1,2,1)</f>
        <v>0</v>
      </c>
      <c r="H32" s="48">
        <f>VLOOKUP($B32,Form_Semi!$C$2:$M$93,9,FALSE)</f>
        <v>1</v>
      </c>
      <c r="I32" s="48" t="s">
        <v>98</v>
      </c>
      <c r="J32" s="48">
        <f>VLOOKUP($B32,Form_Semi!$C$2:$M$93,10,FALSE)</f>
        <v>1</v>
      </c>
      <c r="K32" s="47" t="str">
        <f t="shared" si="4"/>
        <v>empate</v>
      </c>
      <c r="L32" s="48">
        <f>IF(H32=SEMI!H$46,IF(SEMI!J$46=J32,Pesos!$P$6,IF(K32=SEMI!K$46,Pesos!$P$3,0)),IF(K32=SEMI!K$46,Pesos!$P$3,0))*IF(COUNTIF(K$26:K$45,K32)=1,2,1)</f>
        <v>2.08</v>
      </c>
      <c r="M32" s="41"/>
      <c r="N32" s="41"/>
      <c r="O32" s="41"/>
      <c r="P32" s="41"/>
    </row>
    <row r="33" ht="14.25" customHeight="1">
      <c r="A33" s="41"/>
      <c r="B33" s="52" t="s">
        <v>5</v>
      </c>
      <c r="C33" s="9">
        <f>VLOOKUP($B33,Form_Semi!$C$2:$M$93,4,FALSE)</f>
        <v>2</v>
      </c>
      <c r="D33" s="48" t="s">
        <v>98</v>
      </c>
      <c r="E33" s="9">
        <f>VLOOKUP($B33,Form_Semi!$C$2:$M$93,5,FALSE)</f>
        <v>2</v>
      </c>
      <c r="F33" s="47" t="str">
        <f t="shared" si="3"/>
        <v>empate</v>
      </c>
      <c r="G33" s="48">
        <f>IF(C33=SEMI!C$46,IF(SEMI!E$46=E33,Pesos!$P$6,IF(F33=SEMI!F$46,Pesos!$P$3,0)),IF(F33=SEMI!F$46,Pesos!$P$3,0))*IF(COUNTIF(F$26:F$45,F33)=1,2,1)</f>
        <v>0</v>
      </c>
      <c r="H33" s="48">
        <f>VLOOKUP($B33,Form_Semi!$C$2:$M$93,9,FALSE)</f>
        <v>2</v>
      </c>
      <c r="I33" s="48" t="s">
        <v>98</v>
      </c>
      <c r="J33" s="48">
        <f>VLOOKUP($B33,Form_Semi!$C$2:$M$93,10,FALSE)</f>
        <v>1</v>
      </c>
      <c r="K33" s="47" t="str">
        <f t="shared" si="4"/>
        <v>casa</v>
      </c>
      <c r="L33" s="48">
        <f>IF(H33=SEMI!H$46,IF(SEMI!J$46=J33,Pesos!$P$6,IF(K33=SEMI!K$46,Pesos!$P$3,0)),IF(K33=SEMI!K$46,Pesos!$P$3,0))*IF(COUNTIF(K$26:K$45,K33)=1,2,1)</f>
        <v>0</v>
      </c>
      <c r="M33" s="41"/>
      <c r="N33" s="41"/>
      <c r="O33" s="41"/>
      <c r="P33" s="41"/>
    </row>
    <row r="34" ht="14.25" customHeight="1">
      <c r="A34" s="41"/>
      <c r="B34" s="51" t="s">
        <v>4</v>
      </c>
      <c r="C34" s="9">
        <f>VLOOKUP($B34,Form_Semi!$C$2:$M$93,4,FALSE)</f>
        <v>1</v>
      </c>
      <c r="D34" s="9" t="s">
        <v>98</v>
      </c>
      <c r="E34" s="9">
        <f>VLOOKUP($B34,Form_Semi!$C$2:$M$93,5,FALSE)</f>
        <v>1</v>
      </c>
      <c r="F34" s="47" t="str">
        <f t="shared" si="3"/>
        <v>empate</v>
      </c>
      <c r="G34" s="48">
        <f>IF(C34=SEMI!C$46,IF(SEMI!E$46=E34,Pesos!$P$6,IF(F34=SEMI!F$46,Pesos!$P$3,0)),IF(F34=SEMI!F$46,Pesos!$P$3,0))*IF(COUNTIF(F$26:F$45,F34)=1,2,1)</f>
        <v>0</v>
      </c>
      <c r="H34" s="48">
        <f>VLOOKUP($B34,Form_Semi!$C$2:$M$93,9,FALSE)</f>
        <v>1</v>
      </c>
      <c r="I34" s="9" t="s">
        <v>98</v>
      </c>
      <c r="J34" s="48">
        <f>VLOOKUP($B34,Form_Semi!$C$2:$M$93,10,FALSE)</f>
        <v>1</v>
      </c>
      <c r="K34" s="47" t="str">
        <f t="shared" si="4"/>
        <v>empate</v>
      </c>
      <c r="L34" s="48">
        <f>IF(H34=SEMI!H$46,IF(SEMI!J$46=J34,Pesos!$P$6,IF(K34=SEMI!K$46,Pesos!$P$3,0)),IF(K34=SEMI!K$46,Pesos!$P$3,0))*IF(COUNTIF(K$26:K$45,K34)=1,2,1)</f>
        <v>2.08</v>
      </c>
      <c r="M34" s="41"/>
      <c r="N34" s="41"/>
      <c r="O34" s="41"/>
      <c r="P34" s="41"/>
    </row>
    <row r="35" ht="14.25" customHeight="1">
      <c r="A35" s="41"/>
      <c r="B35" s="51" t="s">
        <v>18</v>
      </c>
      <c r="C35" s="9">
        <f>VLOOKUP($B35,Form_Semi!$C$2:$M$93,4,FALSE)</f>
        <v>2</v>
      </c>
      <c r="D35" s="9" t="s">
        <v>98</v>
      </c>
      <c r="E35" s="9">
        <f>VLOOKUP($B35,Form_Semi!$C$2:$M$93,5,FALSE)</f>
        <v>1</v>
      </c>
      <c r="F35" s="47" t="str">
        <f t="shared" si="3"/>
        <v>casa</v>
      </c>
      <c r="G35" s="48">
        <f>IF(C35=SEMI!C$46,IF(SEMI!E$46=E35,Pesos!$P$6,IF(F35=SEMI!F$46,Pesos!$P$3,0)),IF(F35=SEMI!F$46,Pesos!$P$3,0))*IF(COUNTIF(F$26:F$45,F35)=1,2,1)</f>
        <v>12.48</v>
      </c>
      <c r="H35" s="48">
        <f>VLOOKUP($B35,Form_Semi!$C$2:$M$93,9,FALSE)</f>
        <v>1</v>
      </c>
      <c r="I35" s="9" t="s">
        <v>98</v>
      </c>
      <c r="J35" s="48">
        <f>VLOOKUP($B35,Form_Semi!$C$2:$M$93,10,FALSE)</f>
        <v>2</v>
      </c>
      <c r="K35" s="47" t="str">
        <f t="shared" si="4"/>
        <v>visita</v>
      </c>
      <c r="L35" s="48">
        <f>IF(H35=SEMI!H$46,IF(SEMI!J$46=J35,Pesos!$P$6,IF(K35=SEMI!K$46,Pesos!$P$3,0)),IF(K35=SEMI!K$46,Pesos!$P$3,0))*IF(COUNTIF(K$26:K$45,K35)=1,2,1)</f>
        <v>0</v>
      </c>
      <c r="M35" s="41"/>
      <c r="N35" s="41"/>
      <c r="O35" s="41"/>
      <c r="P35" s="41"/>
    </row>
    <row r="36" ht="14.25" customHeight="1">
      <c r="A36" s="41"/>
      <c r="B36" s="51" t="s">
        <v>2</v>
      </c>
      <c r="C36" s="9">
        <f>VLOOKUP($B36,Form_Semi!$C$2:$M$93,4,FALSE)</f>
        <v>1</v>
      </c>
      <c r="D36" s="9" t="s">
        <v>98</v>
      </c>
      <c r="E36" s="9">
        <f>VLOOKUP($B36,Form_Semi!$C$2:$M$93,5,FALSE)</f>
        <v>1</v>
      </c>
      <c r="F36" s="47" t="str">
        <f t="shared" si="3"/>
        <v>empate</v>
      </c>
      <c r="G36" s="48">
        <f>IF(C36=SEMI!C$46,IF(SEMI!E$46=E36,Pesos!$P$6,IF(F36=SEMI!F$46,Pesos!$P$3,0)),IF(F36=SEMI!F$46,Pesos!$P$3,0))*IF(COUNTIF(F$26:F$45,F36)=1,2,1)</f>
        <v>0</v>
      </c>
      <c r="H36" s="48">
        <f>VLOOKUP($B36,Form_Semi!$C$2:$M$93,9,FALSE)</f>
        <v>2</v>
      </c>
      <c r="I36" s="9" t="s">
        <v>98</v>
      </c>
      <c r="J36" s="48">
        <f>VLOOKUP($B36,Form_Semi!$C$2:$M$93,10,FALSE)</f>
        <v>1</v>
      </c>
      <c r="K36" s="47" t="str">
        <f t="shared" si="4"/>
        <v>casa</v>
      </c>
      <c r="L36" s="48">
        <f>IF(H36=SEMI!H$46,IF(SEMI!J$46=J36,Pesos!$P$6,IF(K36=SEMI!K$46,Pesos!$P$3,0)),IF(K36=SEMI!K$46,Pesos!$P$3,0))*IF(COUNTIF(K$26:K$45,K36)=1,2,1)</f>
        <v>0</v>
      </c>
      <c r="M36" s="41"/>
      <c r="N36" s="41"/>
      <c r="O36" s="41"/>
      <c r="P36" s="41"/>
    </row>
    <row r="37" ht="14.25" customHeight="1">
      <c r="A37" s="41"/>
      <c r="B37" s="51" t="s">
        <v>15</v>
      </c>
      <c r="C37" s="9">
        <f>VLOOKUP($B37,Form_Semi!$C$2:$M$93,4,FALSE)</f>
        <v>2</v>
      </c>
      <c r="D37" s="9" t="s">
        <v>98</v>
      </c>
      <c r="E37" s="9">
        <f>VLOOKUP($B37,Form_Semi!$C$2:$M$93,5,FALSE)</f>
        <v>2</v>
      </c>
      <c r="F37" s="47" t="str">
        <f t="shared" si="3"/>
        <v>empate</v>
      </c>
      <c r="G37" s="48">
        <f>IF(C37=SEMI!C$46,IF(SEMI!E$46=E37,Pesos!$P$6,IF(F37=SEMI!F$46,Pesos!$P$3,0)),IF(F37=SEMI!F$46,Pesos!$P$3,0))*IF(COUNTIF(F$26:F$45,F37)=1,2,1)</f>
        <v>0</v>
      </c>
      <c r="H37" s="48">
        <f>VLOOKUP($B37,Form_Semi!$C$2:$M$93,9,FALSE)</f>
        <v>1</v>
      </c>
      <c r="I37" s="9" t="s">
        <v>98</v>
      </c>
      <c r="J37" s="48">
        <f>VLOOKUP($B37,Form_Semi!$C$2:$M$93,10,FALSE)</f>
        <v>2</v>
      </c>
      <c r="K37" s="47" t="str">
        <f t="shared" si="4"/>
        <v>visita</v>
      </c>
      <c r="L37" s="48">
        <f>IF(H37=SEMI!H$46,IF(SEMI!J$46=J37,Pesos!$P$6,IF(K37=SEMI!K$46,Pesos!$P$3,0)),IF(K37=SEMI!K$46,Pesos!$P$3,0))*IF(COUNTIF(K$26:K$45,K37)=1,2,1)</f>
        <v>0</v>
      </c>
      <c r="M37" s="41"/>
      <c r="N37" s="41"/>
      <c r="O37" s="41"/>
      <c r="P37" s="41"/>
    </row>
    <row r="38" ht="14.25" customHeight="1">
      <c r="A38" s="41"/>
      <c r="B38" s="51" t="s">
        <v>12</v>
      </c>
      <c r="C38" s="9">
        <f>VLOOKUP($B38,Form_Semi!$C$2:$M$93,4,FALSE)</f>
        <v>1</v>
      </c>
      <c r="D38" s="9" t="s">
        <v>98</v>
      </c>
      <c r="E38" s="9">
        <f>VLOOKUP($B38,Form_Semi!$C$2:$M$93,5,FALSE)</f>
        <v>1</v>
      </c>
      <c r="F38" s="47" t="str">
        <f t="shared" si="3"/>
        <v>empate</v>
      </c>
      <c r="G38" s="48">
        <f>IF(C38=SEMI!C$46,IF(SEMI!E$46=E38,Pesos!$P$6,IF(F38=SEMI!F$46,Pesos!$P$3,0)),IF(F38=SEMI!F$46,Pesos!$P$3,0))*IF(COUNTIF(F$26:F$45,F38)=1,2,1)</f>
        <v>0</v>
      </c>
      <c r="H38" s="48">
        <f>VLOOKUP($B38,Form_Semi!$C$2:$M$93,9,FALSE)</f>
        <v>2</v>
      </c>
      <c r="I38" s="9" t="s">
        <v>98</v>
      </c>
      <c r="J38" s="48">
        <f>VLOOKUP($B38,Form_Semi!$C$2:$M$93,10,FALSE)</f>
        <v>2</v>
      </c>
      <c r="K38" s="47" t="str">
        <f t="shared" si="4"/>
        <v>empate</v>
      </c>
      <c r="L38" s="48">
        <f>IF(H38=SEMI!H$46,IF(SEMI!J$46=J38,Pesos!$P$6,IF(K38=SEMI!K$46,Pesos!$P$3,0)),IF(K38=SEMI!K$46,Pesos!$P$3,0))*IF(COUNTIF(K$26:K$45,K38)=1,2,1)</f>
        <v>2.08</v>
      </c>
      <c r="M38" s="41"/>
      <c r="N38" s="41"/>
      <c r="O38" s="41"/>
      <c r="P38" s="41"/>
    </row>
    <row r="39" ht="14.25" customHeight="1">
      <c r="A39" s="41"/>
      <c r="B39" s="51" t="s">
        <v>8</v>
      </c>
      <c r="C39" s="9">
        <f>VLOOKUP($B39,Form_Semi!$C$2:$M$93,4,FALSE)</f>
        <v>1</v>
      </c>
      <c r="D39" s="9" t="s">
        <v>98</v>
      </c>
      <c r="E39" s="9">
        <f>VLOOKUP($B39,Form_Semi!$C$2:$M$93,5,FALSE)</f>
        <v>2</v>
      </c>
      <c r="F39" s="47" t="str">
        <f t="shared" si="3"/>
        <v>visita</v>
      </c>
      <c r="G39" s="48">
        <f>IF(C39=SEMI!C$46,IF(SEMI!E$46=E39,Pesos!$P$6,IF(F39=SEMI!F$46,Pesos!$P$3,0)),IF(F39=SEMI!F$46,Pesos!$P$3,0))*IF(COUNTIF(F$26:F$45,F39)=1,2,1)</f>
        <v>0</v>
      </c>
      <c r="H39" s="48">
        <f>VLOOKUP($B39,Form_Semi!$C$2:$M$93,9,FALSE)</f>
        <v>1</v>
      </c>
      <c r="I39" s="9" t="s">
        <v>98</v>
      </c>
      <c r="J39" s="48">
        <f>VLOOKUP($B39,Form_Semi!$C$2:$M$93,10,FALSE)</f>
        <v>1</v>
      </c>
      <c r="K39" s="47" t="str">
        <f t="shared" si="4"/>
        <v>empate</v>
      </c>
      <c r="L39" s="48">
        <f>IF(H39=SEMI!H$46,IF(SEMI!J$46=J39,Pesos!$P$6,IF(K39=SEMI!K$46,Pesos!$P$3,0)),IF(K39=SEMI!K$46,Pesos!$P$3,0))*IF(COUNTIF(K$26:K$45,K39)=1,2,1)</f>
        <v>2.08</v>
      </c>
      <c r="M39" s="41"/>
      <c r="N39" s="41"/>
      <c r="O39" s="41"/>
      <c r="P39" s="41"/>
    </row>
    <row r="40" ht="14.25" customHeight="1">
      <c r="A40" s="41"/>
      <c r="B40" s="51" t="s">
        <v>16</v>
      </c>
      <c r="C40" s="9">
        <f>VLOOKUP($B40,Form_Semi!$C$2:$M$93,4,FALSE)</f>
        <v>1</v>
      </c>
      <c r="D40" s="9" t="s">
        <v>98</v>
      </c>
      <c r="E40" s="9">
        <f>VLOOKUP($B40,Form_Semi!$C$2:$M$93,5,FALSE)</f>
        <v>2</v>
      </c>
      <c r="F40" s="47" t="str">
        <f t="shared" si="3"/>
        <v>visita</v>
      </c>
      <c r="G40" s="48">
        <f>IF(C40=SEMI!C$46,IF(SEMI!E$46=E40,Pesos!$P$6,IF(F40=SEMI!F$46,Pesos!$P$3,0)),IF(F40=SEMI!F$46,Pesos!$P$3,0))*IF(COUNTIF(F$26:F$45,F40)=1,2,1)</f>
        <v>0</v>
      </c>
      <c r="H40" s="48">
        <f>VLOOKUP($B40,Form_Semi!$C$2:$M$93,9,FALSE)</f>
        <v>1</v>
      </c>
      <c r="I40" s="9" t="s">
        <v>98</v>
      </c>
      <c r="J40" s="48">
        <f>VLOOKUP($B40,Form_Semi!$C$2:$M$93,10,FALSE)</f>
        <v>3</v>
      </c>
      <c r="K40" s="47" t="str">
        <f t="shared" si="4"/>
        <v>visita</v>
      </c>
      <c r="L40" s="48">
        <f>IF(H40=SEMI!H$46,IF(SEMI!J$46=J40,Pesos!$P$6,IF(K40=SEMI!K$46,Pesos!$P$3,0)),IF(K40=SEMI!K$46,Pesos!$P$3,0))*IF(COUNTIF(K$26:K$45,K40)=1,2,1)</f>
        <v>0</v>
      </c>
      <c r="M40" s="41"/>
      <c r="N40" s="41"/>
      <c r="O40" s="41"/>
      <c r="P40" s="41"/>
    </row>
    <row r="41" ht="14.25" customHeight="1">
      <c r="A41" s="41"/>
      <c r="B41" s="51" t="s">
        <v>11</v>
      </c>
      <c r="C41" s="9">
        <f>VLOOKUP($B41,Form_Semi!$C$2:$M$93,4,FALSE)</f>
        <v>0</v>
      </c>
      <c r="D41" s="9" t="s">
        <v>98</v>
      </c>
      <c r="E41" s="9">
        <f>VLOOKUP($B41,Form_Semi!$C$2:$M$93,5,FALSE)</f>
        <v>0</v>
      </c>
      <c r="F41" s="47" t="str">
        <f t="shared" si="3"/>
        <v>empate</v>
      </c>
      <c r="G41" s="48">
        <f>IF(C41=SEMI!C$46,IF(SEMI!E$46=E41,Pesos!$P$6,IF(F41=SEMI!F$46,Pesos!$P$3,0)),IF(F41=SEMI!F$46,Pesos!$P$3,0))*IF(COUNTIF(F$26:F$45,F41)=1,2,1)</f>
        <v>0</v>
      </c>
      <c r="H41" s="48">
        <f>VLOOKUP($B41,Form_Semi!$C$2:$M$93,9,FALSE)</f>
        <v>2</v>
      </c>
      <c r="I41" s="9" t="s">
        <v>98</v>
      </c>
      <c r="J41" s="48">
        <f>VLOOKUP($B41,Form_Semi!$C$2:$M$93,10,FALSE)</f>
        <v>1</v>
      </c>
      <c r="K41" s="47" t="str">
        <f t="shared" si="4"/>
        <v>casa</v>
      </c>
      <c r="L41" s="48">
        <f>IF(H41=SEMI!H$46,IF(SEMI!J$46=J41,Pesos!$P$6,IF(K41=SEMI!K$46,Pesos!$P$3,0)),IF(K41=SEMI!K$46,Pesos!$P$3,0))*IF(COUNTIF(K$26:K$45,K41)=1,2,1)</f>
        <v>0</v>
      </c>
      <c r="M41" s="41"/>
      <c r="N41" s="41"/>
      <c r="O41" s="41"/>
      <c r="P41" s="41"/>
    </row>
    <row r="42" ht="14.25" customHeight="1">
      <c r="A42" s="41"/>
      <c r="B42" s="51" t="s">
        <v>7</v>
      </c>
      <c r="C42" s="9">
        <f>VLOOKUP($B42,Form_Semi!$C$2:$M$93,4,FALSE)</f>
        <v>2</v>
      </c>
      <c r="D42" s="48" t="s">
        <v>98</v>
      </c>
      <c r="E42" s="9">
        <f>VLOOKUP($B42,Form_Semi!$C$2:$M$93,5,FALSE)</f>
        <v>3</v>
      </c>
      <c r="F42" s="47" t="str">
        <f t="shared" si="3"/>
        <v>visita</v>
      </c>
      <c r="G42" s="48">
        <f>IF(C42=SEMI!C$46,IF(SEMI!E$46=E42,Pesos!$P$6,IF(F42=SEMI!F$46,Pesos!$P$3,0)),IF(F42=SEMI!F$46,Pesos!$P$3,0))*IF(COUNTIF(F$26:F$45,F42)=1,2,1)</f>
        <v>0</v>
      </c>
      <c r="H42" s="48">
        <f>VLOOKUP($B42,Form_Semi!$C$2:$M$93,9,FALSE)</f>
        <v>3</v>
      </c>
      <c r="I42" s="48" t="s">
        <v>98</v>
      </c>
      <c r="J42" s="48">
        <f>VLOOKUP($B42,Form_Semi!$C$2:$M$93,10,FALSE)</f>
        <v>3</v>
      </c>
      <c r="K42" s="47" t="str">
        <f t="shared" si="4"/>
        <v>empate</v>
      </c>
      <c r="L42" s="48">
        <f>IF(H42=SEMI!H$46,IF(SEMI!J$46=J42,Pesos!$P$6,IF(K42=SEMI!K$46,Pesos!$P$3,0)),IF(K42=SEMI!K$46,Pesos!$P$3,0))*IF(COUNTIF(K$26:K$45,K42)=1,2,1)</f>
        <v>12.48</v>
      </c>
      <c r="M42" s="41"/>
      <c r="N42" s="41"/>
      <c r="O42" s="41"/>
      <c r="P42" s="41"/>
    </row>
    <row r="43" ht="14.25" customHeight="1">
      <c r="A43" s="56"/>
      <c r="B43" s="52" t="s">
        <v>19</v>
      </c>
      <c r="C43" s="9">
        <f>VLOOKUP($B43,Form_Semi!$C$2:$M$93,4,FALSE)</f>
        <v>2</v>
      </c>
      <c r="D43" s="57" t="s">
        <v>98</v>
      </c>
      <c r="E43" s="9">
        <f>VLOOKUP($B43,Form_Semi!$C$2:$M$93,5,FALSE)</f>
        <v>1</v>
      </c>
      <c r="F43" s="47" t="str">
        <f t="shared" si="3"/>
        <v>casa</v>
      </c>
      <c r="G43" s="48">
        <f>IF(C43=SEMI!C$46,IF(SEMI!E$46=E43,Pesos!$P$6,IF(F43=SEMI!F$46,Pesos!$P$3,0)),IF(F43=SEMI!F$46,Pesos!$P$3,0))*IF(COUNTIF(F$26:F$45,F43)=1,2,1)</f>
        <v>12.48</v>
      </c>
      <c r="H43" s="48">
        <f>VLOOKUP($B43,Form_Semi!$C$2:$M$93,9,FALSE)</f>
        <v>1</v>
      </c>
      <c r="I43" s="57" t="s">
        <v>98</v>
      </c>
      <c r="J43" s="48">
        <f>VLOOKUP($B43,Form_Semi!$C$2:$M$93,10,FALSE)</f>
        <v>1</v>
      </c>
      <c r="K43" s="47" t="str">
        <f t="shared" si="4"/>
        <v>empate</v>
      </c>
      <c r="L43" s="48">
        <f>IF(H43=SEMI!H$46,IF(SEMI!J$46=J43,Pesos!$P$6,IF(K43=SEMI!K$46,Pesos!$P$3,0)),IF(K43=SEMI!K$46,Pesos!$P$3,0))*IF(COUNTIF(K$26:K$45,K43)=1,2,1)</f>
        <v>2.08</v>
      </c>
      <c r="M43" s="56"/>
      <c r="N43" s="56"/>
      <c r="O43" s="56"/>
      <c r="P43" s="56"/>
    </row>
    <row r="44" ht="14.25" customHeight="1">
      <c r="A44" s="56"/>
      <c r="B44" s="52" t="s">
        <v>20</v>
      </c>
      <c r="C44" s="9">
        <f>VLOOKUP($B44,Form_Semi!$C$2:$M$93,4,FALSE)</f>
        <v>2</v>
      </c>
      <c r="D44" s="57" t="s">
        <v>98</v>
      </c>
      <c r="E44" s="9">
        <f>VLOOKUP($B44,Form_Semi!$C$2:$M$93,5,FALSE)</f>
        <v>2</v>
      </c>
      <c r="F44" s="47" t="str">
        <f t="shared" si="3"/>
        <v>empate</v>
      </c>
      <c r="G44" s="48">
        <f>IF(C44=SEMI!C$46,IF(SEMI!E$46=E44,Pesos!$P$6,IF(F44=SEMI!F$46,Pesos!$P$3,0)),IF(F44=SEMI!F$46,Pesos!$P$3,0))*IF(COUNTIF(F$26:F$45,F44)=1,2,1)</f>
        <v>0</v>
      </c>
      <c r="H44" s="48">
        <f>VLOOKUP($B44,Form_Semi!$C$2:$M$93,9,FALSE)</f>
        <v>2</v>
      </c>
      <c r="I44" s="57" t="s">
        <v>98</v>
      </c>
      <c r="J44" s="48">
        <f>VLOOKUP($B44,Form_Semi!$C$2:$M$93,10,FALSE)</f>
        <v>1</v>
      </c>
      <c r="K44" s="47" t="str">
        <f t="shared" si="4"/>
        <v>casa</v>
      </c>
      <c r="L44" s="48">
        <f>IF(H44=SEMI!H$46,IF(SEMI!J$46=J44,Pesos!$P$6,IF(K44=SEMI!K$46,Pesos!$P$3,0)),IF(K44=SEMI!K$46,Pesos!$P$3,0))*IF(COUNTIF(K$26:K$45,K44)=1,2,1)</f>
        <v>0</v>
      </c>
      <c r="M44" s="56"/>
      <c r="N44" s="56"/>
      <c r="O44" s="56"/>
      <c r="P44" s="56"/>
    </row>
    <row r="45" ht="14.25" customHeight="1">
      <c r="A45" s="56"/>
      <c r="B45" s="52" t="s">
        <v>21</v>
      </c>
      <c r="C45" s="9">
        <f>VLOOKUP($B45,Form_Semi!$C$2:$M$93,4,FALSE)</f>
        <v>2</v>
      </c>
      <c r="D45" s="57" t="s">
        <v>98</v>
      </c>
      <c r="E45" s="9">
        <f>VLOOKUP($B45,Form_Semi!$C$2:$M$93,5,FALSE)</f>
        <v>2</v>
      </c>
      <c r="F45" s="47" t="str">
        <f t="shared" si="3"/>
        <v>empate</v>
      </c>
      <c r="G45" s="48">
        <f>IF(C45=SEMI!C$46,IF(SEMI!E$46=E45,Pesos!$P$6,IF(F45=SEMI!F$46,Pesos!$P$3,0)),IF(F45=SEMI!F$46,Pesos!$P$3,0))*IF(COUNTIF(F$26:F$45,F45)=1,2,1)</f>
        <v>0</v>
      </c>
      <c r="H45" s="48">
        <f>VLOOKUP($B45,Form_Semi!$C$2:$M$93,9,FALSE)</f>
        <v>2</v>
      </c>
      <c r="I45" s="57" t="s">
        <v>98</v>
      </c>
      <c r="J45" s="48">
        <f>VLOOKUP($B45,Form_Semi!$C$2:$M$93,10,FALSE)</f>
        <v>1</v>
      </c>
      <c r="K45" s="47" t="str">
        <f t="shared" si="4"/>
        <v>casa</v>
      </c>
      <c r="L45" s="48">
        <f>IF(H45=SEMI!H$46,IF(SEMI!J$46=J45,Pesos!$P$6,IF(K45=SEMI!K$46,Pesos!$P$3,0)),IF(K45=SEMI!K$46,Pesos!$P$3,0))*IF(COUNTIF(K$26:K$45,K45)=1,2,1)</f>
        <v>0</v>
      </c>
      <c r="M45" s="56"/>
      <c r="N45" s="56"/>
      <c r="O45" s="56"/>
      <c r="P45" s="56"/>
    </row>
    <row r="46" ht="14.25" customHeight="1">
      <c r="A46" s="41"/>
      <c r="B46" s="58" t="s">
        <v>1</v>
      </c>
      <c r="C46" s="54">
        <v>2.0</v>
      </c>
      <c r="D46" s="54" t="s">
        <v>98</v>
      </c>
      <c r="E46" s="54">
        <v>1.0</v>
      </c>
      <c r="F46" s="55" t="str">
        <f>if(E46="","",IF(C46&gt;E46,"casa",IF(C46=E46,"empate","visita")))</f>
        <v>casa</v>
      </c>
      <c r="G46" s="59"/>
      <c r="H46" s="54">
        <v>3.0</v>
      </c>
      <c r="I46" s="54" t="s">
        <v>98</v>
      </c>
      <c r="J46" s="54">
        <v>3.0</v>
      </c>
      <c r="K46" s="55" t="str">
        <f>if(J46="","",IF(H46&gt;J46,"casa",IF(H46=J46,"empate","visita")))</f>
        <v>empate</v>
      </c>
      <c r="L46" s="48"/>
      <c r="M46" s="41"/>
      <c r="N46" s="41"/>
      <c r="O46" s="41"/>
      <c r="P46" s="41"/>
    </row>
    <row r="47" ht="14.25" customHeight="1">
      <c r="A47" s="41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1"/>
      <c r="N47" s="41"/>
      <c r="O47" s="41"/>
      <c r="P47" s="41"/>
    </row>
    <row r="48" ht="14.25" customHeight="1">
      <c r="A48" s="41"/>
      <c r="B48" s="40"/>
      <c r="C48" s="60" t="s">
        <v>107</v>
      </c>
      <c r="D48" s="61"/>
      <c r="E48" s="62"/>
      <c r="F48" s="9"/>
      <c r="G48" s="9"/>
      <c r="H48" s="60" t="s">
        <v>107</v>
      </c>
      <c r="I48" s="61"/>
      <c r="J48" s="62"/>
      <c r="K48" s="9"/>
      <c r="L48" s="9"/>
      <c r="M48" s="41"/>
      <c r="N48" s="41"/>
      <c r="O48" s="41"/>
      <c r="P48" s="41"/>
    </row>
    <row r="49" ht="14.25" customHeight="1">
      <c r="A49" s="41"/>
      <c r="B49" s="51" t="s">
        <v>9</v>
      </c>
      <c r="C49" s="71" t="str">
        <f>VLOOKUP($B49,Form_Semi!$C$2:$M$93,6,FALSE)</f>
        <v>Paris</v>
      </c>
      <c r="D49" s="61"/>
      <c r="E49" s="62"/>
      <c r="F49" s="9"/>
      <c r="G49" s="48">
        <f>IF(C49=C$69,Pesos!$P$4,0)*IF(COUNTIF(C$49:E$68,C49)=1,2,1)</f>
        <v>6.24</v>
      </c>
      <c r="H49" s="71" t="str">
        <f>VLOOKUP($B49,Form_Semi!$C$2:$M$93,11,FALSE)</f>
        <v>Barcelona</v>
      </c>
      <c r="I49" s="61"/>
      <c r="J49" s="62"/>
      <c r="K49" s="9"/>
      <c r="L49" s="48">
        <f>IF(H49=H$69,Pesos!$P$4,0)*IF(COUNTIF(H$49:J$68,H49)=1,2,1)</f>
        <v>0</v>
      </c>
      <c r="M49" s="41"/>
      <c r="N49" s="41"/>
      <c r="O49" s="41"/>
      <c r="P49" s="41"/>
    </row>
    <row r="50" ht="14.25" customHeight="1">
      <c r="A50" s="41"/>
      <c r="B50" s="51" t="s">
        <v>10</v>
      </c>
      <c r="C50" s="71" t="str">
        <f>VLOOKUP($B50,Form_Semi!$C$2:$M$93,6,FALSE)</f>
        <v>Paris</v>
      </c>
      <c r="D50" s="61"/>
      <c r="E50" s="62"/>
      <c r="F50" s="9"/>
      <c r="G50" s="48">
        <f>IF(C50=C$69,Pesos!$P$4,0)*IF(COUNTIF(C$49:E$68,C50)=1,2,1)</f>
        <v>6.24</v>
      </c>
      <c r="H50" s="71" t="str">
        <f>VLOOKUP($B50,Form_Semi!$C$2:$M$93,11,FALSE)</f>
        <v>Barcelona</v>
      </c>
      <c r="I50" s="61"/>
      <c r="J50" s="62"/>
      <c r="K50" s="9"/>
      <c r="L50" s="48">
        <f>IF(H50=H$69,Pesos!$P$4,0)*IF(COUNTIF(H$49:J$68,H50)=1,2,1)</f>
        <v>0</v>
      </c>
      <c r="M50" s="41"/>
      <c r="N50" s="41"/>
      <c r="O50" s="41"/>
      <c r="P50" s="41"/>
    </row>
    <row r="51" ht="14.25" customHeight="1">
      <c r="A51" s="41"/>
      <c r="B51" s="51" t="s">
        <v>17</v>
      </c>
      <c r="C51" s="71" t="str">
        <f>VLOOKUP($B51,Form_Semi!$C$2:$M$93,6,FALSE)</f>
        <v>Paris</v>
      </c>
      <c r="D51" s="61"/>
      <c r="E51" s="62"/>
      <c r="F51" s="9"/>
      <c r="G51" s="48">
        <f>IF(C51=C$69,Pesos!$P$4,0)*IF(COUNTIF(C$49:E$68,C51)=1,2,1)</f>
        <v>6.24</v>
      </c>
      <c r="H51" s="71" t="str">
        <f>VLOOKUP($B51,Form_Semi!$C$2:$M$93,11,FALSE)</f>
        <v>Barcelona</v>
      </c>
      <c r="I51" s="61"/>
      <c r="J51" s="62"/>
      <c r="K51" s="9"/>
      <c r="L51" s="48">
        <f>IF(H51=H$69,Pesos!$P$4,0)*IF(COUNTIF(H$49:J$68,H51)=1,2,1)</f>
        <v>0</v>
      </c>
      <c r="M51" s="41"/>
      <c r="N51" s="41"/>
      <c r="O51" s="41"/>
      <c r="P51" s="41"/>
    </row>
    <row r="52" ht="14.25" customHeight="1">
      <c r="A52" s="41"/>
      <c r="B52" s="51" t="s">
        <v>3</v>
      </c>
      <c r="C52" s="71" t="str">
        <f>VLOOKUP($B52,Form_Semi!$C$2:$M$93,6,FALSE)</f>
        <v>Paris</v>
      </c>
      <c r="D52" s="61"/>
      <c r="E52" s="62"/>
      <c r="F52" s="9"/>
      <c r="G52" s="48">
        <f>IF(C52=C$69,Pesos!$P$4,0)*IF(COUNTIF(C$49:E$68,C52)=1,2,1)</f>
        <v>6.24</v>
      </c>
      <c r="H52" s="71" t="str">
        <f>VLOOKUP($B52,Form_Semi!$C$2:$M$93,11,FALSE)</f>
        <v>Barcelona</v>
      </c>
      <c r="I52" s="61"/>
      <c r="J52" s="62"/>
      <c r="K52" s="9"/>
      <c r="L52" s="48">
        <f>IF(H52=H$69,Pesos!$P$4,0)*IF(COUNTIF(H$49:J$68,H52)=1,2,1)</f>
        <v>0</v>
      </c>
      <c r="M52" s="41"/>
      <c r="N52" s="41"/>
      <c r="O52" s="41"/>
      <c r="P52" s="41"/>
    </row>
    <row r="53" ht="14.25" customHeight="1">
      <c r="A53" s="41"/>
      <c r="B53" s="51" t="s">
        <v>13</v>
      </c>
      <c r="C53" s="71" t="str">
        <f>VLOOKUP($B53,Form_Semi!$C$2:$M$93,6,FALSE)</f>
        <v>Arsenal</v>
      </c>
      <c r="D53" s="61"/>
      <c r="E53" s="62"/>
      <c r="F53" s="9"/>
      <c r="G53" s="48">
        <f>IF(C53=C$69,Pesos!$P$4,0)*IF(COUNTIF(C$49:E$68,C53)=1,2,1)</f>
        <v>0</v>
      </c>
      <c r="H53" s="71" t="str">
        <f>VLOOKUP($B53,Form_Semi!$C$2:$M$93,11,FALSE)</f>
        <v>Barcelona</v>
      </c>
      <c r="I53" s="61"/>
      <c r="J53" s="62"/>
      <c r="K53" s="9"/>
      <c r="L53" s="48">
        <f>IF(H53=H$69,Pesos!$P$4,0)*IF(COUNTIF(H$49:J$68,H53)=1,2,1)</f>
        <v>0</v>
      </c>
      <c r="M53" s="41"/>
      <c r="N53" s="41"/>
      <c r="O53" s="41"/>
      <c r="P53" s="41"/>
    </row>
    <row r="54" ht="14.25" customHeight="1">
      <c r="A54" s="41"/>
      <c r="B54" s="51" t="s">
        <v>14</v>
      </c>
      <c r="C54" s="71" t="str">
        <f>VLOOKUP($B54,Form_Semi!$C$2:$M$93,6,FALSE)</f>
        <v>Arsenal</v>
      </c>
      <c r="D54" s="61"/>
      <c r="E54" s="62"/>
      <c r="F54" s="9"/>
      <c r="G54" s="48">
        <f>IF(C54=C$69,Pesos!$P$4,0)*IF(COUNTIF(C$49:E$68,C54)=1,2,1)</f>
        <v>0</v>
      </c>
      <c r="H54" s="71" t="str">
        <f>VLOOKUP($B54,Form_Semi!$C$2:$M$93,11,FALSE)</f>
        <v>Barcelona</v>
      </c>
      <c r="I54" s="61"/>
      <c r="J54" s="62"/>
      <c r="K54" s="9"/>
      <c r="L54" s="48">
        <f>IF(H54=H$69,Pesos!$P$4,0)*IF(COUNTIF(H$49:J$68,H54)=1,2,1)</f>
        <v>0</v>
      </c>
      <c r="M54" s="41"/>
      <c r="N54" s="41"/>
      <c r="O54" s="41"/>
      <c r="P54" s="41"/>
    </row>
    <row r="55" ht="14.25" customHeight="1">
      <c r="A55" s="41"/>
      <c r="B55" s="51" t="s">
        <v>6</v>
      </c>
      <c r="C55" s="71" t="str">
        <f>VLOOKUP($B55,Form_Semi!$C$2:$M$93,6,FALSE)</f>
        <v>Arsenal</v>
      </c>
      <c r="D55" s="61"/>
      <c r="E55" s="62"/>
      <c r="F55" s="48"/>
      <c r="G55" s="48">
        <f>IF(C55=C$69,Pesos!$P$4,0)*IF(COUNTIF(C$49:E$68,C55)=1,2,1)</f>
        <v>0</v>
      </c>
      <c r="H55" s="71" t="str">
        <f>VLOOKUP($B55,Form_Semi!$C$2:$M$93,11,FALSE)</f>
        <v>Barcelona</v>
      </c>
      <c r="I55" s="61"/>
      <c r="J55" s="62"/>
      <c r="K55" s="48"/>
      <c r="L55" s="48">
        <f>IF(H55=H$69,Pesos!$P$4,0)*IF(COUNTIF(H$49:J$68,H55)=1,2,1)</f>
        <v>0</v>
      </c>
      <c r="M55" s="41"/>
      <c r="N55" s="41"/>
      <c r="O55" s="41"/>
      <c r="P55" s="41"/>
    </row>
    <row r="56" ht="14.25" customHeight="1">
      <c r="A56" s="41"/>
      <c r="B56" s="52" t="s">
        <v>5</v>
      </c>
      <c r="C56" s="71" t="str">
        <f>VLOOKUP($B56,Form_Semi!$C$2:$M$93,6,FALSE)</f>
        <v>Paris</v>
      </c>
      <c r="D56" s="61"/>
      <c r="E56" s="62"/>
      <c r="F56" s="9"/>
      <c r="G56" s="48">
        <f>IF(C56=C$69,Pesos!$P$4,0)*IF(COUNTIF(C$49:E$68,C56)=1,2,1)</f>
        <v>6.24</v>
      </c>
      <c r="H56" s="71" t="str">
        <f>VLOOKUP($B56,Form_Semi!$C$2:$M$93,11,FALSE)</f>
        <v>Barcelona</v>
      </c>
      <c r="I56" s="61"/>
      <c r="J56" s="62"/>
      <c r="K56" s="9"/>
      <c r="L56" s="48">
        <f>IF(H56=H$69,Pesos!$P$4,0)*IF(COUNTIF(H$49:J$68,H56)=1,2,1)</f>
        <v>0</v>
      </c>
      <c r="M56" s="41"/>
      <c r="N56" s="41"/>
      <c r="O56" s="41"/>
      <c r="P56" s="41"/>
    </row>
    <row r="57" ht="14.25" customHeight="1">
      <c r="A57" s="41"/>
      <c r="B57" s="51" t="s">
        <v>4</v>
      </c>
      <c r="C57" s="71" t="str">
        <f>VLOOKUP($B57,Form_Semi!$C$2:$M$93,6,FALSE)</f>
        <v>Arsenal</v>
      </c>
      <c r="D57" s="61"/>
      <c r="E57" s="62"/>
      <c r="F57" s="9"/>
      <c r="G57" s="48">
        <f>IF(C57=C$69,Pesos!$P$4,0)*IF(COUNTIF(C$49:E$68,C57)=1,2,1)</f>
        <v>0</v>
      </c>
      <c r="H57" s="71" t="str">
        <f>VLOOKUP($B57,Form_Semi!$C$2:$M$93,11,FALSE)</f>
        <v>Barcelona</v>
      </c>
      <c r="I57" s="61"/>
      <c r="J57" s="62"/>
      <c r="K57" s="9"/>
      <c r="L57" s="48">
        <f>IF(H57=H$69,Pesos!$P$4,0)*IF(COUNTIF(H$49:J$68,H57)=1,2,1)</f>
        <v>0</v>
      </c>
      <c r="M57" s="41"/>
      <c r="N57" s="41"/>
      <c r="O57" s="41"/>
      <c r="P57" s="41"/>
    </row>
    <row r="58" ht="14.25" customHeight="1">
      <c r="A58" s="41"/>
      <c r="B58" s="51" t="s">
        <v>18</v>
      </c>
      <c r="C58" s="71" t="str">
        <f>VLOOKUP($B58,Form_Semi!$C$2:$M$93,6,FALSE)</f>
        <v>Paris</v>
      </c>
      <c r="D58" s="61"/>
      <c r="E58" s="62"/>
      <c r="F58" s="9"/>
      <c r="G58" s="48">
        <f>IF(C58=C$69,Pesos!$P$4,0)*IF(COUNTIF(C$49:E$68,C58)=1,2,1)</f>
        <v>6.24</v>
      </c>
      <c r="H58" s="71" t="str">
        <f>VLOOKUP($B58,Form_Semi!$C$2:$M$93,11,FALSE)</f>
        <v>Barcelona</v>
      </c>
      <c r="I58" s="61"/>
      <c r="J58" s="62"/>
      <c r="K58" s="9"/>
      <c r="L58" s="48">
        <f>IF(H58=H$69,Pesos!$P$4,0)*IF(COUNTIF(H$49:J$68,H58)=1,2,1)</f>
        <v>0</v>
      </c>
      <c r="M58" s="41"/>
      <c r="N58" s="41"/>
      <c r="O58" s="41"/>
      <c r="P58" s="41"/>
    </row>
    <row r="59" ht="14.25" customHeight="1">
      <c r="A59" s="41"/>
      <c r="B59" s="51" t="s">
        <v>2</v>
      </c>
      <c r="C59" s="71" t="str">
        <f>VLOOKUP($B59,Form_Semi!$C$2:$M$93,6,FALSE)</f>
        <v>Arsenal</v>
      </c>
      <c r="D59" s="61"/>
      <c r="E59" s="62"/>
      <c r="F59" s="9"/>
      <c r="G59" s="48">
        <f>IF(C59=C$69,Pesos!$P$4,0)*IF(COUNTIF(C$49:E$68,C59)=1,2,1)</f>
        <v>0</v>
      </c>
      <c r="H59" s="71" t="str">
        <f>VLOOKUP($B59,Form_Semi!$C$2:$M$93,11,FALSE)</f>
        <v>Inter</v>
      </c>
      <c r="I59" s="61"/>
      <c r="J59" s="62"/>
      <c r="K59" s="9"/>
      <c r="L59" s="48">
        <f>IF(H59=H$69,Pesos!$P$4,0)*IF(COUNTIF(H$49:J$68,H59)=1,2,1)</f>
        <v>6.24</v>
      </c>
      <c r="M59" s="41"/>
      <c r="N59" s="41"/>
      <c r="O59" s="41"/>
      <c r="P59" s="41"/>
    </row>
    <row r="60" ht="14.25" customHeight="1">
      <c r="A60" s="41"/>
      <c r="B60" s="51" t="s">
        <v>15</v>
      </c>
      <c r="C60" s="71" t="str">
        <f>VLOOKUP($B60,Form_Semi!$C$2:$M$93,6,FALSE)</f>
        <v>Arsenal</v>
      </c>
      <c r="D60" s="61"/>
      <c r="E60" s="62"/>
      <c r="F60" s="9"/>
      <c r="G60" s="48">
        <f>IF(C60=C$69,Pesos!$P$4,0)*IF(COUNTIF(C$49:E$68,C60)=1,2,1)</f>
        <v>0</v>
      </c>
      <c r="H60" s="71" t="str">
        <f>VLOOKUP($B60,Form_Semi!$C$2:$M$93,11,FALSE)</f>
        <v>Barcelona</v>
      </c>
      <c r="I60" s="61"/>
      <c r="J60" s="62"/>
      <c r="K60" s="9"/>
      <c r="L60" s="48">
        <f>IF(H60=H$69,Pesos!$P$4,0)*IF(COUNTIF(H$49:J$68,H60)=1,2,1)</f>
        <v>0</v>
      </c>
      <c r="M60" s="41"/>
      <c r="N60" s="41"/>
      <c r="O60" s="41"/>
      <c r="P60" s="41"/>
    </row>
    <row r="61" ht="14.25" customHeight="1">
      <c r="A61" s="41"/>
      <c r="B61" s="51" t="s">
        <v>12</v>
      </c>
      <c r="C61" s="71" t="str">
        <f>VLOOKUP($B61,Form_Semi!$C$2:$M$93,6,FALSE)</f>
        <v>Arsenal</v>
      </c>
      <c r="D61" s="61"/>
      <c r="E61" s="62"/>
      <c r="F61" s="9"/>
      <c r="G61" s="48">
        <f>IF(C61=C$69,Pesos!$P$4,0)*IF(COUNTIF(C$49:E$68,C61)=1,2,1)</f>
        <v>0</v>
      </c>
      <c r="H61" s="71" t="str">
        <f>VLOOKUP($B61,Form_Semi!$C$2:$M$93,11,FALSE)</f>
        <v>Barcelona</v>
      </c>
      <c r="I61" s="61"/>
      <c r="J61" s="62"/>
      <c r="K61" s="9"/>
      <c r="L61" s="48">
        <f>IF(H61=H$69,Pesos!$P$4,0)*IF(COUNTIF(H$49:J$68,H61)=1,2,1)</f>
        <v>0</v>
      </c>
      <c r="M61" s="41"/>
      <c r="N61" s="41"/>
      <c r="O61" s="41"/>
      <c r="P61" s="41"/>
    </row>
    <row r="62" ht="14.25" customHeight="1">
      <c r="A62" s="41"/>
      <c r="B62" s="51" t="s">
        <v>8</v>
      </c>
      <c r="C62" s="71" t="str">
        <f>VLOOKUP($B62,Form_Semi!$C$2:$M$93,6,FALSE)</f>
        <v>Arsenal</v>
      </c>
      <c r="D62" s="61"/>
      <c r="E62" s="62"/>
      <c r="F62" s="9"/>
      <c r="G62" s="48">
        <f>IF(C62=C$69,Pesos!$P$4,0)*IF(COUNTIF(C$49:E$68,C62)=1,2,1)</f>
        <v>0</v>
      </c>
      <c r="H62" s="71" t="str">
        <f>VLOOKUP($B62,Form_Semi!$C$2:$M$93,11,FALSE)</f>
        <v>Barcelona</v>
      </c>
      <c r="I62" s="61"/>
      <c r="J62" s="62"/>
      <c r="K62" s="9"/>
      <c r="L62" s="48">
        <f>IF(H62=H$69,Pesos!$P$4,0)*IF(COUNTIF(H$49:J$68,H62)=1,2,1)</f>
        <v>0</v>
      </c>
      <c r="M62" s="41"/>
      <c r="N62" s="41"/>
      <c r="O62" s="41"/>
      <c r="P62" s="41"/>
    </row>
    <row r="63" ht="14.25" customHeight="1">
      <c r="A63" s="41"/>
      <c r="B63" s="51" t="s">
        <v>16</v>
      </c>
      <c r="C63" s="71" t="str">
        <f>VLOOKUP($B63,Form_Semi!$C$2:$M$93,6,FALSE)</f>
        <v>Paris</v>
      </c>
      <c r="D63" s="61"/>
      <c r="E63" s="62"/>
      <c r="F63" s="9"/>
      <c r="G63" s="48">
        <f>IF(C63=C$69,Pesos!$P$4,0)*IF(COUNTIF(C$49:E$68,C63)=1,2,1)</f>
        <v>6.24</v>
      </c>
      <c r="H63" s="71" t="str">
        <f>VLOOKUP($B63,Form_Semi!$C$2:$M$93,11,FALSE)</f>
        <v>Barcelona</v>
      </c>
      <c r="I63" s="61"/>
      <c r="J63" s="62"/>
      <c r="K63" s="9"/>
      <c r="L63" s="48">
        <f>IF(H63=H$69,Pesos!$P$4,0)*IF(COUNTIF(H$49:J$68,H63)=1,2,1)</f>
        <v>0</v>
      </c>
      <c r="M63" s="41"/>
      <c r="N63" s="41"/>
      <c r="O63" s="41"/>
      <c r="P63" s="41"/>
    </row>
    <row r="64" ht="14.25" customHeight="1">
      <c r="A64" s="41"/>
      <c r="B64" s="51" t="s">
        <v>11</v>
      </c>
      <c r="C64" s="71" t="str">
        <f>VLOOKUP($B64,Form_Semi!$C$2:$M$93,6,FALSE)</f>
        <v>Arsenal</v>
      </c>
      <c r="D64" s="61"/>
      <c r="E64" s="62"/>
      <c r="F64" s="9"/>
      <c r="G64" s="48">
        <f>IF(C64=C$69,Pesos!$P$4,0)*IF(COUNTIF(C$49:E$68,C64)=1,2,1)</f>
        <v>0</v>
      </c>
      <c r="H64" s="71" t="str">
        <f>VLOOKUP($B64,Form_Semi!$C$2:$M$93,11,FALSE)</f>
        <v>Barcelona</v>
      </c>
      <c r="I64" s="61"/>
      <c r="J64" s="62"/>
      <c r="K64" s="9"/>
      <c r="L64" s="48">
        <f>IF(H64=H$69,Pesos!$P$4,0)*IF(COUNTIF(H$49:J$68,H64)=1,2,1)</f>
        <v>0</v>
      </c>
      <c r="M64" s="41"/>
      <c r="N64" s="41"/>
      <c r="O64" s="41"/>
      <c r="P64" s="41"/>
    </row>
    <row r="65" ht="14.25" customHeight="1">
      <c r="A65" s="41"/>
      <c r="B65" s="51" t="s">
        <v>7</v>
      </c>
      <c r="C65" s="71" t="str">
        <f>VLOOKUP($B65,Form_Semi!$C$2:$M$93,6,FALSE)</f>
        <v>Arsenal</v>
      </c>
      <c r="D65" s="61"/>
      <c r="E65" s="62"/>
      <c r="F65" s="9"/>
      <c r="G65" s="48">
        <f>IF(C65=C$69,Pesos!$P$4,0)*IF(COUNTIF(C$49:E$68,C65)=1,2,1)</f>
        <v>0</v>
      </c>
      <c r="H65" s="71" t="str">
        <f>VLOOKUP($B65,Form_Semi!$C$2:$M$93,11,FALSE)</f>
        <v>Barcelona</v>
      </c>
      <c r="I65" s="61"/>
      <c r="J65" s="62"/>
      <c r="K65" s="9"/>
      <c r="L65" s="48">
        <f>IF(H65=H$69,Pesos!$P$4,0)*IF(COUNTIF(H$49:J$68,H65)=1,2,1)</f>
        <v>0</v>
      </c>
      <c r="M65" s="41"/>
      <c r="N65" s="41"/>
      <c r="O65" s="41"/>
      <c r="P65" s="41"/>
    </row>
    <row r="66" ht="14.25" customHeight="1">
      <c r="A66" s="41"/>
      <c r="B66" s="52" t="s">
        <v>19</v>
      </c>
      <c r="C66" s="71" t="str">
        <f>VLOOKUP($B66,Form_Semi!$C$2:$M$93,6,FALSE)</f>
        <v>Arsenal</v>
      </c>
      <c r="D66" s="61"/>
      <c r="E66" s="62"/>
      <c r="F66" s="9"/>
      <c r="G66" s="48">
        <f>IF(C66=C$69,Pesos!$P$4,0)*IF(COUNTIF(C$49:E$68,C66)=1,2,1)</f>
        <v>0</v>
      </c>
      <c r="H66" s="71" t="str">
        <f>VLOOKUP($B66,Form_Semi!$C$2:$M$93,11,FALSE)</f>
        <v>Barcelona</v>
      </c>
      <c r="I66" s="61"/>
      <c r="J66" s="62"/>
      <c r="K66" s="9"/>
      <c r="L66" s="48">
        <f>IF(H66=H$69,Pesos!$P$4,0)*IF(COUNTIF(H$49:J$68,H66)=1,2,1)</f>
        <v>0</v>
      </c>
      <c r="M66" s="41"/>
      <c r="N66" s="41"/>
      <c r="O66" s="41"/>
      <c r="P66" s="41"/>
    </row>
    <row r="67" ht="14.25" customHeight="1">
      <c r="A67" s="41"/>
      <c r="B67" s="52" t="s">
        <v>20</v>
      </c>
      <c r="C67" s="71" t="str">
        <f>VLOOKUP($B67,Form_Semi!$C$2:$M$93,6,FALSE)</f>
        <v>Arsenal</v>
      </c>
      <c r="D67" s="61"/>
      <c r="E67" s="62"/>
      <c r="F67" s="9"/>
      <c r="G67" s="48">
        <f>IF(C67=C$69,Pesos!$P$4,0)*IF(COUNTIF(C$49:E$68,C67)=1,2,1)</f>
        <v>0</v>
      </c>
      <c r="H67" s="71" t="str">
        <f>VLOOKUP($B67,Form_Semi!$C$2:$M$93,11,FALSE)</f>
        <v>Barcelona</v>
      </c>
      <c r="I67" s="61"/>
      <c r="J67" s="62"/>
      <c r="K67" s="9"/>
      <c r="L67" s="48">
        <f>IF(H67=H$69,Pesos!$P$4,0)*IF(COUNTIF(H$49:J$68,H67)=1,2,1)</f>
        <v>0</v>
      </c>
      <c r="M67" s="41"/>
      <c r="N67" s="41"/>
      <c r="O67" s="41"/>
      <c r="P67" s="41"/>
    </row>
    <row r="68" ht="14.25" customHeight="1">
      <c r="A68" s="41"/>
      <c r="B68" s="52" t="s">
        <v>21</v>
      </c>
      <c r="C68" s="71" t="str">
        <f>VLOOKUP($B68,Form_Semi!$C$2:$M$93,6,FALSE)</f>
        <v>Arsenal</v>
      </c>
      <c r="D68" s="61"/>
      <c r="E68" s="62"/>
      <c r="F68" s="9"/>
      <c r="G68" s="48">
        <f>IF(C68=C$69,Pesos!$P$4,0)*IF(COUNTIF(C$49:E$68,C68)=1,2,1)</f>
        <v>0</v>
      </c>
      <c r="H68" s="71" t="str">
        <f>VLOOKUP($B68,Form_Semi!$C$2:$M$93,11,FALSE)</f>
        <v>Inter</v>
      </c>
      <c r="I68" s="61"/>
      <c r="J68" s="62"/>
      <c r="K68" s="9"/>
      <c r="L68" s="48">
        <f>IF(H68=H$69,Pesos!$P$4,0)*IF(COUNTIF(H$49:J$68,H68)=1,2,1)</f>
        <v>6.24</v>
      </c>
      <c r="M68" s="41"/>
      <c r="N68" s="41"/>
      <c r="O68" s="41"/>
      <c r="P68" s="41"/>
    </row>
    <row r="69" ht="14.25" customHeight="1">
      <c r="A69" s="41"/>
      <c r="B69" s="58" t="s">
        <v>1</v>
      </c>
      <c r="C69" s="64" t="s">
        <v>138</v>
      </c>
      <c r="D69" s="61"/>
      <c r="E69" s="62"/>
      <c r="F69" s="9"/>
      <c r="G69" s="48"/>
      <c r="H69" s="64" t="s">
        <v>139</v>
      </c>
      <c r="I69" s="61"/>
      <c r="J69" s="62"/>
      <c r="K69" s="55"/>
      <c r="L69" s="48"/>
      <c r="M69" s="41"/>
      <c r="N69" s="41"/>
      <c r="O69" s="41"/>
      <c r="P69" s="41"/>
    </row>
    <row r="70" ht="14.25" customHeight="1">
      <c r="A70" s="41"/>
      <c r="B70" s="2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1"/>
      <c r="N70" s="41"/>
      <c r="O70" s="41"/>
      <c r="P70" s="41"/>
    </row>
    <row r="71" ht="14.25" customHeight="1">
      <c r="A71" s="41"/>
      <c r="B71" s="2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1"/>
      <c r="N71" s="41"/>
      <c r="O71" s="41"/>
      <c r="P71" s="41"/>
    </row>
    <row r="72" ht="14.25" customHeight="1">
      <c r="A72" s="41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1"/>
      <c r="N72" s="41"/>
      <c r="O72" s="41"/>
      <c r="P72" s="41"/>
    </row>
    <row r="73" ht="14.25" customHeight="1">
      <c r="A73" s="41"/>
      <c r="B73" s="45" t="s">
        <v>9</v>
      </c>
      <c r="C73" s="57" t="str">
        <f>VLOOKUP($B$73,Form_PrimeiraFase!$C$2:$FB$69,156,FALSE)</f>
        <v>Paris Saint-Germain</v>
      </c>
      <c r="D73" s="40">
        <f t="shared" ref="D73:D93" si="5">COUNTIF($C$69:$J$69,C73)</f>
        <v>0</v>
      </c>
      <c r="E73" s="40"/>
      <c r="F73" s="41">
        <f>G3+G26+L3+L26+G49+L49+D73*Pesos!$O$26</f>
        <v>8.32</v>
      </c>
      <c r="G73" s="40"/>
      <c r="H73" s="40"/>
      <c r="I73" s="40"/>
      <c r="J73" s="40"/>
      <c r="K73" s="40"/>
      <c r="L73" s="40"/>
      <c r="M73" s="41"/>
      <c r="N73" s="41"/>
      <c r="O73" s="41"/>
      <c r="P73" s="41"/>
    </row>
    <row r="74" ht="14.25" customHeight="1">
      <c r="A74" s="41"/>
      <c r="B74" s="51" t="s">
        <v>10</v>
      </c>
      <c r="C74" s="57" t="str">
        <f>VLOOKUP($B$74,Form_PrimeiraFase!$C$2:$FB$69,156,FALSE)</f>
        <v>Liverpool</v>
      </c>
      <c r="D74" s="40">
        <f t="shared" si="5"/>
        <v>0</v>
      </c>
      <c r="E74" s="40"/>
      <c r="F74" s="41">
        <f>G4+G27+L4+L27+G50+L50+D74*Pesos!$O$26</f>
        <v>8.32</v>
      </c>
      <c r="G74" s="40"/>
      <c r="H74" s="40"/>
      <c r="I74" s="40"/>
      <c r="J74" s="40"/>
      <c r="K74" s="40"/>
      <c r="L74" s="40"/>
      <c r="M74" s="41"/>
      <c r="N74" s="41"/>
      <c r="O74" s="41"/>
      <c r="P74" s="41"/>
    </row>
    <row r="75" ht="14.25" customHeight="1">
      <c r="A75" s="41"/>
      <c r="B75" s="51" t="s">
        <v>17</v>
      </c>
      <c r="C75" s="57" t="str">
        <f>VLOOKUP($B$75,Form_PrimeiraFase!$C$2:$FB$69,156,FALSE)</f>
        <v>Real Madrid</v>
      </c>
      <c r="D75" s="40">
        <f t="shared" si="5"/>
        <v>0</v>
      </c>
      <c r="E75" s="40"/>
      <c r="F75" s="41">
        <f>G5+G28+L5+L28+G51+L51+D75*Pesos!$O$26</f>
        <v>10.4</v>
      </c>
      <c r="G75" s="40"/>
      <c r="H75" s="40"/>
      <c r="I75" s="40"/>
      <c r="J75" s="40"/>
      <c r="K75" s="40"/>
      <c r="L75" s="40"/>
      <c r="M75" s="41"/>
      <c r="N75" s="41"/>
      <c r="O75" s="41"/>
      <c r="P75" s="41"/>
    </row>
    <row r="76" ht="14.25" customHeight="1">
      <c r="A76" s="41"/>
      <c r="B76" s="51" t="s">
        <v>3</v>
      </c>
      <c r="C76" s="57" t="str">
        <f>VLOOKUP($B$76,Form_PrimeiraFase!$C$2:$FB$69,156,FALSE)</f>
        <v>Barcelona</v>
      </c>
      <c r="D76" s="40">
        <f t="shared" si="5"/>
        <v>0</v>
      </c>
      <c r="E76" s="40"/>
      <c r="F76" s="41">
        <f>G6+G29+L6+L29+G52+L52+D76*Pesos!$O$26</f>
        <v>8.32</v>
      </c>
      <c r="G76" s="40"/>
      <c r="H76" s="40"/>
      <c r="I76" s="40"/>
      <c r="J76" s="40"/>
      <c r="K76" s="40"/>
      <c r="L76" s="40"/>
      <c r="M76" s="41"/>
      <c r="N76" s="41"/>
      <c r="O76" s="41"/>
      <c r="P76" s="41"/>
    </row>
    <row r="77" ht="14.25" customHeight="1">
      <c r="A77" s="41"/>
      <c r="B77" s="51" t="s">
        <v>13</v>
      </c>
      <c r="C77" s="57" t="str">
        <f>VLOOKUP($B$77,Form_PrimeiraFase!$C$2:$FB$69,156,FALSE)</f>
        <v>Barcelona</v>
      </c>
      <c r="D77" s="40">
        <f t="shared" si="5"/>
        <v>0</v>
      </c>
      <c r="E77" s="40"/>
      <c r="F77" s="41">
        <f>G7+G30+L7+L30+G53+L53+D77*Pesos!$O$26</f>
        <v>4.16</v>
      </c>
      <c r="G77" s="40"/>
      <c r="H77" s="40"/>
      <c r="I77" s="40"/>
      <c r="J77" s="40"/>
      <c r="K77" s="40"/>
      <c r="L77" s="40"/>
      <c r="M77" s="41"/>
      <c r="N77" s="41"/>
      <c r="O77" s="41"/>
      <c r="P77" s="41"/>
    </row>
    <row r="78" ht="14.25" customHeight="1">
      <c r="A78" s="41"/>
      <c r="B78" s="51" t="s">
        <v>14</v>
      </c>
      <c r="C78" s="57" t="str">
        <f>VLOOKUP($B$78,Form_PrimeiraFase!$C$2:$FB$69,156,FALSE)</f>
        <v>Barcelona</v>
      </c>
      <c r="D78" s="40">
        <f t="shared" si="5"/>
        <v>0</v>
      </c>
      <c r="E78" s="40"/>
      <c r="F78" s="41">
        <f>G8+G31+L8+L31+G54+L54+D78*Pesos!$O$26</f>
        <v>2.08</v>
      </c>
      <c r="G78" s="40"/>
      <c r="H78" s="40"/>
      <c r="I78" s="40"/>
      <c r="J78" s="40"/>
      <c r="K78" s="40"/>
      <c r="L78" s="40"/>
      <c r="M78" s="41"/>
      <c r="N78" s="41"/>
      <c r="O78" s="41"/>
      <c r="P78" s="41"/>
    </row>
    <row r="79" ht="14.25" customHeight="1">
      <c r="A79" s="41"/>
      <c r="B79" s="51" t="s">
        <v>6</v>
      </c>
      <c r="C79" s="57" t="str">
        <f>VLOOKUP($B$79,Form_PrimeiraFase!$C$2:$FB$69,156,FALSE)</f>
        <v>Barcelona</v>
      </c>
      <c r="D79" s="40">
        <f t="shared" si="5"/>
        <v>0</v>
      </c>
      <c r="E79" s="40"/>
      <c r="F79" s="41">
        <f>G9+G32+L9+L32+G55+L55+D79*Pesos!$O$26</f>
        <v>2.08</v>
      </c>
      <c r="G79" s="40"/>
      <c r="H79" s="40"/>
      <c r="I79" s="40"/>
      <c r="J79" s="40"/>
      <c r="K79" s="40"/>
      <c r="L79" s="40"/>
      <c r="M79" s="41"/>
      <c r="N79" s="41"/>
      <c r="O79" s="41"/>
      <c r="P79" s="41"/>
    </row>
    <row r="80" ht="14.25" customHeight="1">
      <c r="A80" s="41"/>
      <c r="B80" s="51" t="s">
        <v>5</v>
      </c>
      <c r="C80" s="57" t="str">
        <f>VLOOKUP($B$80,Form_PrimeiraFase!$C$2:$FB$69,156,FALSE)</f>
        <v>Liverpool</v>
      </c>
      <c r="D80" s="40">
        <f t="shared" si="5"/>
        <v>0</v>
      </c>
      <c r="E80" s="40"/>
      <c r="F80" s="41">
        <f>G10+G33+L10+L33+G56+L56+D80*Pesos!$O$26</f>
        <v>6.24</v>
      </c>
      <c r="G80" s="40"/>
      <c r="H80" s="40"/>
      <c r="I80" s="40"/>
      <c r="J80" s="40"/>
      <c r="K80" s="40"/>
      <c r="L80" s="40"/>
      <c r="M80" s="41"/>
      <c r="N80" s="41"/>
      <c r="O80" s="41"/>
      <c r="P80" s="41"/>
    </row>
    <row r="81" ht="14.25" customHeight="1">
      <c r="A81" s="41"/>
      <c r="B81" s="51" t="s">
        <v>4</v>
      </c>
      <c r="C81" s="57" t="str">
        <f>VLOOKUP($B$81,Form_PrimeiraFase!$C$2:$FB$69,156,FALSE)</f>
        <v>Barcelona</v>
      </c>
      <c r="D81" s="40">
        <f t="shared" si="5"/>
        <v>0</v>
      </c>
      <c r="E81" s="40"/>
      <c r="F81" s="41">
        <f>G11+G34+L11+L34+G57+L57+D81*Pesos!$O$26</f>
        <v>2.08</v>
      </c>
      <c r="G81" s="40"/>
      <c r="H81" s="40"/>
      <c r="I81" s="40"/>
      <c r="J81" s="40"/>
      <c r="K81" s="40"/>
      <c r="L81" s="40"/>
      <c r="M81" s="41"/>
      <c r="N81" s="41"/>
      <c r="O81" s="41"/>
      <c r="P81" s="41"/>
    </row>
    <row r="82" ht="14.25" customHeight="1">
      <c r="A82" s="41"/>
      <c r="B82" s="51" t="s">
        <v>18</v>
      </c>
      <c r="C82" s="57" t="str">
        <f>VLOOKUP($B$82,Form_PrimeiraFase!$C$2:$FB$69,156,FALSE)</f>
        <v>Barcelona</v>
      </c>
      <c r="D82" s="40">
        <f t="shared" si="5"/>
        <v>0</v>
      </c>
      <c r="E82" s="40"/>
      <c r="F82" s="41">
        <f>G12+G35+L12+L35+G58+L58+D82*Pesos!$O$26</f>
        <v>18.72</v>
      </c>
      <c r="G82" s="40"/>
      <c r="H82" s="40"/>
      <c r="I82" s="40"/>
      <c r="J82" s="40"/>
      <c r="K82" s="40"/>
      <c r="L82" s="40"/>
      <c r="M82" s="41"/>
      <c r="N82" s="41"/>
      <c r="O82" s="41"/>
      <c r="P82" s="41"/>
    </row>
    <row r="83" ht="14.25" customHeight="1">
      <c r="A83" s="41"/>
      <c r="B83" s="51" t="s">
        <v>2</v>
      </c>
      <c r="C83" s="57" t="str">
        <f>VLOOKUP($B$83,Form_PrimeiraFase!$C$2:$FB$69,156,FALSE)</f>
        <v>Real Madrid</v>
      </c>
      <c r="D83" s="40">
        <f t="shared" si="5"/>
        <v>0</v>
      </c>
      <c r="E83" s="40"/>
      <c r="F83" s="41">
        <f>G13+G36+L13+L36+G59+L59+D83*Pesos!$O$26</f>
        <v>8.32</v>
      </c>
      <c r="G83" s="40"/>
      <c r="H83" s="40"/>
      <c r="I83" s="40"/>
      <c r="J83" s="40"/>
      <c r="K83" s="40"/>
      <c r="L83" s="40"/>
      <c r="M83" s="41"/>
      <c r="N83" s="41"/>
      <c r="O83" s="41"/>
      <c r="P83" s="41"/>
    </row>
    <row r="84" ht="14.25" customHeight="1">
      <c r="A84" s="41"/>
      <c r="B84" s="51" t="s">
        <v>15</v>
      </c>
      <c r="C84" s="57" t="str">
        <f>VLOOKUP($B$84,Form_PrimeiraFase!$C$2:$FB$69,156,FALSE)</f>
        <v>Barcelona</v>
      </c>
      <c r="D84" s="40">
        <f t="shared" si="5"/>
        <v>0</v>
      </c>
      <c r="E84" s="40"/>
      <c r="F84" s="41">
        <f>G14+G37+L14+L37+G60+L60+D84*Pesos!$O$26</f>
        <v>0</v>
      </c>
      <c r="G84" s="40"/>
      <c r="H84" s="40"/>
      <c r="I84" s="40"/>
      <c r="J84" s="40"/>
      <c r="K84" s="40"/>
      <c r="L84" s="40"/>
      <c r="M84" s="41"/>
      <c r="N84" s="41"/>
      <c r="O84" s="41"/>
      <c r="P84" s="41"/>
    </row>
    <row r="85" ht="14.25" customHeight="1">
      <c r="A85" s="41"/>
      <c r="B85" s="51" t="s">
        <v>12</v>
      </c>
      <c r="C85" s="57" t="str">
        <f>VLOOKUP($B$85,Form_PrimeiraFase!$C$2:$FB$69,156,FALSE)</f>
        <v>Liverpool</v>
      </c>
      <c r="D85" s="40">
        <f t="shared" si="5"/>
        <v>0</v>
      </c>
      <c r="E85" s="40"/>
      <c r="F85" s="41">
        <f>G15+G38+L15+L38+G61+L61+D85*Pesos!$O$26</f>
        <v>2.08</v>
      </c>
      <c r="G85" s="40"/>
      <c r="H85" s="40"/>
      <c r="I85" s="40"/>
      <c r="J85" s="40"/>
      <c r="K85" s="40"/>
      <c r="L85" s="40"/>
      <c r="M85" s="41"/>
      <c r="N85" s="41"/>
      <c r="O85" s="41"/>
      <c r="P85" s="41"/>
    </row>
    <row r="86" ht="14.25" customHeight="1">
      <c r="A86" s="41"/>
      <c r="B86" s="51" t="s">
        <v>8</v>
      </c>
      <c r="C86" s="57" t="str">
        <f>VLOOKUP($B$86,Form_PrimeiraFase!$C$2:$FB$69,156,FALSE)</f>
        <v>Chelsea</v>
      </c>
      <c r="D86" s="40">
        <f t="shared" si="5"/>
        <v>0</v>
      </c>
      <c r="E86" s="40"/>
      <c r="F86" s="41">
        <f>G16+G39+L16+L39+G62+L62+D86*Pesos!$O$26</f>
        <v>2.08</v>
      </c>
      <c r="G86" s="40"/>
      <c r="H86" s="40"/>
      <c r="I86" s="40"/>
      <c r="J86" s="40"/>
      <c r="K86" s="40"/>
      <c r="L86" s="40"/>
      <c r="M86" s="41"/>
      <c r="N86" s="41"/>
      <c r="O86" s="41"/>
      <c r="P86" s="41"/>
    </row>
    <row r="87" ht="14.25" customHeight="1">
      <c r="A87" s="41"/>
      <c r="B87" s="51" t="s">
        <v>16</v>
      </c>
      <c r="C87" s="57" t="str">
        <f>VLOOKUP($B$87,Form_PrimeiraFase!$C$2:$FB$69,156,FALSE)</f>
        <v>Barcelona</v>
      </c>
      <c r="D87" s="40">
        <f t="shared" si="5"/>
        <v>0</v>
      </c>
      <c r="E87" s="40"/>
      <c r="F87" s="41">
        <f>G17+G40+L17+L40+G63+L63+D87*Pesos!$O$26</f>
        <v>10.4</v>
      </c>
      <c r="G87" s="40"/>
      <c r="H87" s="40"/>
      <c r="I87" s="40"/>
      <c r="J87" s="40"/>
      <c r="K87" s="40"/>
      <c r="L87" s="40"/>
      <c r="M87" s="41"/>
      <c r="N87" s="41"/>
      <c r="O87" s="41"/>
      <c r="P87" s="41"/>
    </row>
    <row r="88" ht="14.25" customHeight="1">
      <c r="A88" s="41"/>
      <c r="B88" s="51" t="s">
        <v>11</v>
      </c>
      <c r="C88" s="57" t="str">
        <f>VLOOKUP($B$88,Form_PrimeiraFase!$C$2:$FB$69,156,FALSE)</f>
        <v>Barcelona</v>
      </c>
      <c r="D88" s="40">
        <f t="shared" si="5"/>
        <v>0</v>
      </c>
      <c r="E88" s="40"/>
      <c r="F88" s="41">
        <f>G18+G41+L18+L41+G64+L64+D88*Pesos!$O$26</f>
        <v>0</v>
      </c>
      <c r="G88" s="40"/>
      <c r="H88" s="40"/>
      <c r="I88" s="40"/>
      <c r="J88" s="40"/>
      <c r="K88" s="40"/>
      <c r="L88" s="40"/>
      <c r="M88" s="41"/>
      <c r="N88" s="41"/>
      <c r="O88" s="41"/>
      <c r="P88" s="41"/>
    </row>
    <row r="89" ht="14.25" customHeight="1">
      <c r="A89" s="41"/>
      <c r="B89" s="51" t="s">
        <v>7</v>
      </c>
      <c r="C89" s="57" t="str">
        <f>VLOOKUP($B$89,Form_PrimeiraFase!$C$2:$FB$69,156,FALSE)</f>
        <v>Barcelona</v>
      </c>
      <c r="D89" s="40">
        <f t="shared" si="5"/>
        <v>0</v>
      </c>
      <c r="E89" s="40"/>
      <c r="F89" s="41">
        <f>G19+G42+L19+L42+G65+L65+D89*Pesos!$O$26</f>
        <v>12.48</v>
      </c>
      <c r="G89" s="40"/>
      <c r="H89" s="40"/>
      <c r="I89" s="40"/>
      <c r="J89" s="40"/>
      <c r="K89" s="40"/>
      <c r="L89" s="40"/>
      <c r="M89" s="41"/>
      <c r="N89" s="41"/>
      <c r="O89" s="41"/>
      <c r="P89" s="41"/>
    </row>
    <row r="90" ht="14.25" customHeight="1">
      <c r="A90" s="41"/>
      <c r="B90" s="51" t="s">
        <v>19</v>
      </c>
      <c r="C90" s="57" t="str">
        <f>VLOOKUP($B$90,Form_PrimeiraFase!$C$2:$FB$69,156,FALSE)</f>
        <v>Paris Saint-Germain</v>
      </c>
      <c r="D90" s="40">
        <f t="shared" si="5"/>
        <v>0</v>
      </c>
      <c r="E90" s="40"/>
      <c r="F90" s="41">
        <f>G20+G43+L20+L43+G66+L66+D90*Pesos!$O$26</f>
        <v>14.56</v>
      </c>
      <c r="G90" s="40"/>
      <c r="H90" s="40"/>
      <c r="I90" s="40"/>
      <c r="J90" s="40"/>
      <c r="K90" s="40"/>
      <c r="L90" s="40"/>
      <c r="M90" s="41"/>
      <c r="N90" s="41"/>
      <c r="O90" s="41"/>
      <c r="P90" s="41"/>
    </row>
    <row r="91" ht="14.25" customHeight="1">
      <c r="A91" s="41"/>
      <c r="B91" s="52" t="s">
        <v>20</v>
      </c>
      <c r="C91" s="57" t="str">
        <f>VLOOKUP($B$91,Form_PrimeiraFase!$C$2:$FB$69,156,FALSE)</f>
        <v>Barcelona</v>
      </c>
      <c r="D91" s="40">
        <f t="shared" si="5"/>
        <v>0</v>
      </c>
      <c r="E91" s="40"/>
      <c r="F91" s="41">
        <f>G21+G44+L21+L44+G67+L67+D91*Pesos!$O$26</f>
        <v>0</v>
      </c>
      <c r="G91" s="40"/>
      <c r="H91" s="40"/>
      <c r="I91" s="40"/>
      <c r="J91" s="40"/>
      <c r="K91" s="40"/>
      <c r="L91" s="40"/>
      <c r="M91" s="41"/>
      <c r="N91" s="41"/>
      <c r="O91" s="41"/>
      <c r="P91" s="41"/>
    </row>
    <row r="92" ht="14.25" customHeight="1">
      <c r="A92" s="41"/>
      <c r="B92" s="52" t="s">
        <v>21</v>
      </c>
      <c r="C92" s="57" t="str">
        <f>VLOOKUP($B$92,Form_PrimeiraFase!$C$2:$FB$69,156,FALSE)</f>
        <v>Liverpool</v>
      </c>
      <c r="D92" s="40">
        <f t="shared" si="5"/>
        <v>0</v>
      </c>
      <c r="E92" s="40"/>
      <c r="F92" s="41">
        <f>G22+G45+L22+L45+G68+L68+D92*Pesos!$O$26</f>
        <v>8.32</v>
      </c>
      <c r="G92" s="40"/>
      <c r="H92" s="40"/>
      <c r="I92" s="40"/>
      <c r="J92" s="40"/>
      <c r="K92" s="40"/>
      <c r="L92" s="40"/>
      <c r="M92" s="41"/>
      <c r="N92" s="41"/>
      <c r="O92" s="41"/>
      <c r="P92" s="41"/>
    </row>
    <row r="93" ht="14.25" customHeight="1">
      <c r="A93" s="41"/>
      <c r="B93" s="51" t="s">
        <v>22</v>
      </c>
      <c r="C93" s="57" t="str">
        <f>VLOOKUP($B$93,Form_PrimeiraFase!$C$2:$FB$69,156,FALSE)</f>
        <v>Barcelona</v>
      </c>
      <c r="D93" s="40">
        <f t="shared" si="5"/>
        <v>0</v>
      </c>
      <c r="E93" s="40"/>
      <c r="F93" s="41">
        <f>G23+G46+L23+L46+G69+L69+D93*Pesos!$O$26</f>
        <v>0</v>
      </c>
      <c r="G93" s="40"/>
      <c r="H93" s="40"/>
      <c r="I93" s="40"/>
      <c r="J93" s="40"/>
      <c r="K93" s="40"/>
      <c r="L93" s="40"/>
      <c r="M93" s="41"/>
      <c r="N93" s="41"/>
      <c r="O93" s="41"/>
      <c r="P93" s="41"/>
    </row>
    <row r="94" ht="14.25" customHeight="1">
      <c r="A94" s="41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1"/>
      <c r="N94" s="41"/>
      <c r="O94" s="41"/>
      <c r="P94" s="41"/>
    </row>
    <row r="95" ht="14.25" customHeight="1">
      <c r="A95" s="41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1"/>
      <c r="N95" s="41"/>
      <c r="O95" s="41"/>
      <c r="P95" s="41"/>
    </row>
    <row r="96" ht="14.25" customHeight="1">
      <c r="A96" s="41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1"/>
      <c r="N96" s="41"/>
      <c r="O96" s="41"/>
      <c r="P96" s="41"/>
    </row>
    <row r="97" ht="14.25" customHeight="1">
      <c r="A97" s="41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1"/>
      <c r="N97" s="41"/>
      <c r="O97" s="41"/>
      <c r="P97" s="41"/>
    </row>
    <row r="98" ht="14.25" customHeight="1">
      <c r="A98" s="41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1"/>
      <c r="N98" s="41"/>
      <c r="O98" s="41"/>
      <c r="P98" s="41"/>
    </row>
    <row r="99" ht="14.25" customHeight="1">
      <c r="A99" s="41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1"/>
      <c r="N99" s="41"/>
      <c r="O99" s="41"/>
      <c r="P99" s="41"/>
    </row>
    <row r="100" ht="14.25" customHeight="1">
      <c r="A100" s="41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1"/>
      <c r="N100" s="41"/>
      <c r="O100" s="41"/>
      <c r="P100" s="41"/>
    </row>
    <row r="101" ht="14.25" customHeight="1">
      <c r="A101" s="41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1"/>
      <c r="N101" s="41"/>
      <c r="O101" s="41"/>
      <c r="P101" s="41"/>
    </row>
    <row r="102" ht="14.25" customHeight="1">
      <c r="A102" s="41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1"/>
      <c r="N102" s="41"/>
      <c r="O102" s="41"/>
      <c r="P102" s="41"/>
    </row>
    <row r="103" ht="14.25" customHeight="1">
      <c r="A103" s="41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1"/>
      <c r="N103" s="41"/>
      <c r="O103" s="41"/>
      <c r="P103" s="41"/>
    </row>
    <row r="104" ht="14.25" customHeight="1">
      <c r="A104" s="41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1"/>
      <c r="N104" s="41"/>
      <c r="O104" s="41"/>
      <c r="P104" s="41"/>
    </row>
    <row r="105" ht="14.25" customHeight="1">
      <c r="A105" s="41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1"/>
      <c r="N105" s="41"/>
      <c r="O105" s="41"/>
      <c r="P105" s="41"/>
    </row>
    <row r="106" ht="14.25" customHeight="1">
      <c r="A106" s="41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1"/>
      <c r="N106" s="41"/>
      <c r="O106" s="41"/>
      <c r="P106" s="41"/>
    </row>
    <row r="107" ht="14.25" customHeight="1">
      <c r="A107" s="41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1"/>
      <c r="N107" s="41"/>
      <c r="O107" s="41"/>
      <c r="P107" s="41"/>
    </row>
    <row r="108" ht="14.25" customHeight="1">
      <c r="A108" s="41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1"/>
      <c r="N108" s="41"/>
      <c r="O108" s="41"/>
      <c r="P108" s="41"/>
    </row>
    <row r="109" ht="14.25" customHeight="1">
      <c r="A109" s="41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1"/>
      <c r="N109" s="41"/>
      <c r="O109" s="41"/>
      <c r="P109" s="41"/>
    </row>
    <row r="110" ht="14.25" customHeight="1">
      <c r="A110" s="41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1"/>
      <c r="N110" s="41"/>
      <c r="O110" s="41"/>
      <c r="P110" s="41"/>
    </row>
    <row r="111" ht="14.25" customHeight="1">
      <c r="A111" s="41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1"/>
      <c r="N111" s="41"/>
      <c r="O111" s="41"/>
      <c r="P111" s="41"/>
    </row>
    <row r="112" ht="14.25" customHeight="1">
      <c r="A112" s="41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1"/>
      <c r="N112" s="41"/>
      <c r="O112" s="41"/>
      <c r="P112" s="41"/>
    </row>
    <row r="113" ht="14.25" customHeight="1">
      <c r="A113" s="41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1"/>
      <c r="N113" s="41"/>
      <c r="O113" s="41"/>
      <c r="P113" s="41"/>
    </row>
    <row r="114" ht="14.25" customHeight="1">
      <c r="A114" s="41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1"/>
      <c r="N114" s="41"/>
      <c r="O114" s="41"/>
      <c r="P114" s="41"/>
    </row>
    <row r="115" ht="14.25" customHeight="1">
      <c r="A115" s="41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1"/>
      <c r="N115" s="41"/>
      <c r="O115" s="41"/>
      <c r="P115" s="41"/>
    </row>
    <row r="116" ht="14.25" customHeight="1">
      <c r="A116" s="41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1"/>
      <c r="N116" s="41"/>
      <c r="O116" s="41"/>
      <c r="P116" s="41"/>
    </row>
    <row r="117" ht="14.25" customHeight="1">
      <c r="A117" s="41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1"/>
      <c r="N117" s="41"/>
      <c r="O117" s="41"/>
      <c r="P117" s="41"/>
    </row>
    <row r="118" ht="14.25" customHeight="1">
      <c r="A118" s="41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1"/>
      <c r="N118" s="41"/>
      <c r="O118" s="41"/>
      <c r="P118" s="41"/>
    </row>
    <row r="119" ht="14.25" customHeight="1">
      <c r="A119" s="41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1"/>
      <c r="N119" s="41"/>
      <c r="O119" s="41"/>
      <c r="P119" s="41"/>
    </row>
    <row r="120" ht="14.25" customHeight="1">
      <c r="A120" s="41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1"/>
      <c r="N120" s="41"/>
      <c r="O120" s="41"/>
      <c r="P120" s="41"/>
    </row>
    <row r="121" ht="14.25" customHeight="1">
      <c r="A121" s="4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1"/>
      <c r="N121" s="41"/>
      <c r="O121" s="41"/>
      <c r="P121" s="41"/>
    </row>
    <row r="122" ht="14.25" customHeight="1">
      <c r="A122" s="4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1"/>
      <c r="N122" s="41"/>
      <c r="O122" s="41"/>
      <c r="P122" s="41"/>
    </row>
    <row r="123" ht="14.25" customHeight="1">
      <c r="A123" s="41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/>
      <c r="N123" s="41"/>
      <c r="O123" s="41"/>
      <c r="P123" s="41"/>
    </row>
    <row r="124" ht="14.25" customHeight="1">
      <c r="A124" s="4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1"/>
      <c r="N124" s="41"/>
      <c r="O124" s="41"/>
      <c r="P124" s="41"/>
    </row>
    <row r="125" ht="14.25" customHeight="1">
      <c r="A125" s="41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1"/>
      <c r="N125" s="41"/>
      <c r="O125" s="41"/>
      <c r="P125" s="41"/>
    </row>
    <row r="126" ht="14.25" customHeight="1">
      <c r="A126" s="41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1"/>
      <c r="N126" s="41"/>
      <c r="O126" s="41"/>
      <c r="P126" s="41"/>
    </row>
    <row r="127" ht="14.25" customHeight="1">
      <c r="A127" s="41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1"/>
      <c r="N127" s="41"/>
      <c r="O127" s="41"/>
      <c r="P127" s="41"/>
    </row>
    <row r="128" ht="14.25" customHeight="1">
      <c r="A128" s="41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1"/>
      <c r="N128" s="41"/>
      <c r="O128" s="41"/>
      <c r="P128" s="41"/>
    </row>
    <row r="129" ht="14.25" customHeight="1">
      <c r="A129" s="41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1"/>
      <c r="N129" s="41"/>
      <c r="O129" s="41"/>
      <c r="P129" s="41"/>
    </row>
    <row r="130" ht="14.25" customHeight="1">
      <c r="A130" s="41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1"/>
      <c r="N130" s="41"/>
      <c r="O130" s="41"/>
      <c r="P130" s="41"/>
    </row>
    <row r="131" ht="14.25" customHeight="1">
      <c r="A131" s="41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1"/>
      <c r="N131" s="41"/>
      <c r="O131" s="41"/>
      <c r="P131" s="41"/>
    </row>
    <row r="132" ht="14.25" customHeight="1">
      <c r="A132" s="41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1"/>
      <c r="N132" s="41"/>
      <c r="O132" s="41"/>
      <c r="P132" s="41"/>
    </row>
    <row r="133" ht="14.25" customHeight="1">
      <c r="A133" s="41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1"/>
      <c r="N133" s="41"/>
      <c r="O133" s="41"/>
      <c r="P133" s="41"/>
    </row>
    <row r="134" ht="14.25" customHeight="1">
      <c r="A134" s="41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1"/>
      <c r="N134" s="41"/>
      <c r="O134" s="41"/>
      <c r="P134" s="41"/>
    </row>
    <row r="135" ht="14.25" customHeight="1">
      <c r="A135" s="41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1"/>
      <c r="N135" s="41"/>
      <c r="O135" s="41"/>
      <c r="P135" s="41"/>
    </row>
    <row r="136" ht="14.25" customHeight="1">
      <c r="A136" s="41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1"/>
      <c r="N136" s="41"/>
      <c r="O136" s="41"/>
      <c r="P136" s="41"/>
    </row>
    <row r="137" ht="14.25" customHeight="1">
      <c r="A137" s="41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1"/>
      <c r="N137" s="41"/>
      <c r="O137" s="41"/>
      <c r="P137" s="41"/>
    </row>
    <row r="138" ht="14.25" customHeight="1">
      <c r="A138" s="41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1"/>
      <c r="N138" s="41"/>
      <c r="O138" s="41"/>
      <c r="P138" s="41"/>
    </row>
    <row r="139" ht="14.25" customHeight="1">
      <c r="A139" s="41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1"/>
      <c r="N139" s="41"/>
      <c r="O139" s="41"/>
      <c r="P139" s="41"/>
    </row>
    <row r="140" ht="14.25" customHeight="1">
      <c r="A140" s="41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1"/>
      <c r="N140" s="41"/>
      <c r="O140" s="41"/>
      <c r="P140" s="41"/>
    </row>
    <row r="141" ht="14.25" customHeight="1">
      <c r="A141" s="41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1"/>
      <c r="N141" s="41"/>
      <c r="O141" s="41"/>
      <c r="P141" s="41"/>
    </row>
    <row r="142" ht="14.25" customHeight="1">
      <c r="A142" s="41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1"/>
      <c r="N142" s="41"/>
      <c r="O142" s="41"/>
      <c r="P142" s="41"/>
    </row>
    <row r="143" ht="14.25" customHeight="1">
      <c r="A143" s="41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1"/>
      <c r="N143" s="41"/>
      <c r="O143" s="41"/>
      <c r="P143" s="41"/>
    </row>
    <row r="144" ht="14.25" customHeight="1">
      <c r="A144" s="41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1"/>
      <c r="N144" s="41"/>
      <c r="O144" s="41"/>
      <c r="P144" s="41"/>
    </row>
    <row r="145" ht="14.25" customHeight="1">
      <c r="A145" s="41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1"/>
      <c r="N145" s="41"/>
      <c r="O145" s="41"/>
      <c r="P145" s="41"/>
    </row>
    <row r="146" ht="14.25" customHeight="1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1"/>
      <c r="N146" s="41"/>
      <c r="O146" s="41"/>
      <c r="P146" s="41"/>
    </row>
    <row r="147" ht="14.25" customHeight="1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1"/>
      <c r="N147" s="41"/>
      <c r="O147" s="41"/>
      <c r="P147" s="41"/>
    </row>
    <row r="148" ht="14.25" customHeight="1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1"/>
      <c r="N148" s="41"/>
      <c r="O148" s="41"/>
      <c r="P148" s="41"/>
    </row>
    <row r="149" ht="14.25" customHeight="1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1"/>
      <c r="N149" s="41"/>
      <c r="O149" s="41"/>
      <c r="P149" s="41"/>
    </row>
    <row r="150" ht="14.25" customHeight="1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1"/>
      <c r="N150" s="41"/>
      <c r="O150" s="41"/>
      <c r="P150" s="41"/>
    </row>
    <row r="151" ht="14.25" customHeight="1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1"/>
      <c r="N151" s="41"/>
      <c r="O151" s="41"/>
      <c r="P151" s="41"/>
    </row>
    <row r="152" ht="14.25" customHeight="1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1"/>
      <c r="N152" s="41"/>
      <c r="O152" s="41"/>
      <c r="P152" s="41"/>
    </row>
    <row r="153" ht="14.25" customHeight="1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1"/>
      <c r="N153" s="41"/>
      <c r="O153" s="41"/>
      <c r="P153" s="41"/>
    </row>
    <row r="154" ht="14.25" customHeight="1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1"/>
      <c r="N154" s="41"/>
      <c r="O154" s="41"/>
      <c r="P154" s="41"/>
    </row>
    <row r="155" ht="14.25" customHeight="1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1"/>
      <c r="N155" s="41"/>
      <c r="O155" s="41"/>
      <c r="P155" s="41"/>
    </row>
    <row r="156" ht="14.25" customHeight="1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1"/>
      <c r="N156" s="41"/>
      <c r="O156" s="41"/>
      <c r="P156" s="41"/>
    </row>
    <row r="157" ht="14.25" customHeight="1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1"/>
      <c r="N157" s="41"/>
      <c r="O157" s="41"/>
      <c r="P157" s="41"/>
    </row>
    <row r="158" ht="14.25" customHeight="1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1"/>
      <c r="N158" s="41"/>
      <c r="O158" s="41"/>
      <c r="P158" s="41"/>
    </row>
    <row r="159" ht="14.25" customHeight="1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1"/>
      <c r="N159" s="41"/>
      <c r="O159" s="41"/>
      <c r="P159" s="41"/>
    </row>
    <row r="160" ht="14.25" customHeight="1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1"/>
      <c r="N160" s="41"/>
      <c r="O160" s="41"/>
      <c r="P160" s="41"/>
    </row>
    <row r="161" ht="14.25" customHeight="1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1"/>
      <c r="N161" s="41"/>
      <c r="O161" s="41"/>
      <c r="P161" s="41"/>
    </row>
    <row r="162" ht="14.25" customHeight="1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1"/>
      <c r="N162" s="41"/>
      <c r="O162" s="41"/>
      <c r="P162" s="41"/>
    </row>
    <row r="163" ht="14.25" customHeight="1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1"/>
      <c r="N163" s="41"/>
      <c r="O163" s="41"/>
      <c r="P163" s="41"/>
    </row>
    <row r="164" ht="14.25" customHeight="1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1"/>
      <c r="N164" s="41"/>
      <c r="O164" s="41"/>
      <c r="P164" s="41"/>
    </row>
    <row r="165" ht="14.25" customHeight="1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1"/>
      <c r="N165" s="41"/>
      <c r="O165" s="41"/>
      <c r="P165" s="41"/>
    </row>
    <row r="166" ht="14.25" customHeight="1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1"/>
      <c r="N166" s="41"/>
      <c r="O166" s="41"/>
      <c r="P166" s="41"/>
    </row>
    <row r="167" ht="14.25" customHeight="1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1"/>
      <c r="N167" s="41"/>
      <c r="O167" s="41"/>
      <c r="P167" s="41"/>
    </row>
    <row r="168" ht="14.25" customHeight="1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1"/>
      <c r="N168" s="41"/>
      <c r="O168" s="41"/>
      <c r="P168" s="41"/>
    </row>
    <row r="169" ht="14.25" customHeight="1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1"/>
      <c r="N169" s="41"/>
      <c r="O169" s="41"/>
      <c r="P169" s="41"/>
    </row>
    <row r="170" ht="14.25" customHeight="1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1"/>
      <c r="N170" s="41"/>
      <c r="O170" s="41"/>
      <c r="P170" s="41"/>
    </row>
    <row r="171" ht="14.25" customHeight="1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1"/>
      <c r="N171" s="41"/>
      <c r="O171" s="41"/>
      <c r="P171" s="41"/>
    </row>
    <row r="172" ht="14.25" customHeight="1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1"/>
      <c r="N172" s="41"/>
      <c r="O172" s="41"/>
      <c r="P172" s="41"/>
    </row>
    <row r="173" ht="14.25" customHeight="1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1"/>
      <c r="N173" s="41"/>
      <c r="O173" s="41"/>
      <c r="P173" s="41"/>
    </row>
    <row r="174" ht="14.25" customHeight="1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1"/>
      <c r="N174" s="41"/>
      <c r="O174" s="41"/>
      <c r="P174" s="41"/>
    </row>
    <row r="175" ht="14.25" customHeight="1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1"/>
      <c r="N175" s="41"/>
      <c r="O175" s="41"/>
      <c r="P175" s="41"/>
    </row>
    <row r="176" ht="14.25" customHeight="1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1"/>
      <c r="N176" s="41"/>
      <c r="O176" s="41"/>
      <c r="P176" s="41"/>
    </row>
    <row r="177" ht="14.25" customHeight="1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1"/>
      <c r="N177" s="41"/>
      <c r="O177" s="41"/>
      <c r="P177" s="41"/>
    </row>
    <row r="178" ht="14.25" customHeight="1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1"/>
      <c r="N178" s="41"/>
      <c r="O178" s="41"/>
      <c r="P178" s="41"/>
    </row>
    <row r="179" ht="14.25" customHeight="1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1"/>
      <c r="N179" s="41"/>
      <c r="O179" s="41"/>
      <c r="P179" s="41"/>
    </row>
    <row r="180" ht="14.25" customHeight="1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1"/>
      <c r="N180" s="41"/>
      <c r="O180" s="41"/>
      <c r="P180" s="41"/>
    </row>
    <row r="181" ht="14.25" customHeight="1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1"/>
      <c r="N181" s="41"/>
      <c r="O181" s="41"/>
      <c r="P181" s="41"/>
    </row>
    <row r="182" ht="14.25" customHeight="1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1"/>
      <c r="N182" s="41"/>
      <c r="O182" s="41"/>
      <c r="P182" s="41"/>
    </row>
    <row r="183" ht="14.25" customHeight="1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1"/>
      <c r="N183" s="41"/>
      <c r="O183" s="41"/>
      <c r="P183" s="41"/>
    </row>
    <row r="184" ht="14.25" customHeight="1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1"/>
      <c r="N184" s="41"/>
      <c r="O184" s="41"/>
      <c r="P184" s="41"/>
    </row>
    <row r="185" ht="14.25" customHeight="1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1"/>
      <c r="N185" s="41"/>
      <c r="O185" s="41"/>
      <c r="P185" s="41"/>
    </row>
    <row r="186" ht="14.25" customHeight="1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1"/>
      <c r="N186" s="41"/>
      <c r="O186" s="41"/>
      <c r="P186" s="41"/>
    </row>
    <row r="187" ht="14.25" customHeight="1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1"/>
      <c r="N187" s="41"/>
      <c r="O187" s="41"/>
      <c r="P187" s="41"/>
    </row>
    <row r="188" ht="14.25" customHeight="1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1"/>
      <c r="N188" s="41"/>
      <c r="O188" s="41"/>
      <c r="P188" s="41"/>
    </row>
    <row r="189" ht="14.25" customHeight="1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1"/>
      <c r="N189" s="41"/>
      <c r="O189" s="41"/>
      <c r="P189" s="41"/>
    </row>
    <row r="190" ht="14.25" customHeight="1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1"/>
      <c r="N190" s="41"/>
      <c r="O190" s="41"/>
      <c r="P190" s="41"/>
    </row>
    <row r="191" ht="14.25" customHeight="1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1"/>
      <c r="N191" s="41"/>
      <c r="O191" s="41"/>
      <c r="P191" s="41"/>
    </row>
    <row r="192" ht="14.25" customHeight="1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1"/>
      <c r="N192" s="41"/>
      <c r="O192" s="41"/>
      <c r="P192" s="41"/>
    </row>
    <row r="193" ht="14.25" customHeight="1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1"/>
      <c r="N193" s="41"/>
      <c r="O193" s="41"/>
      <c r="P193" s="41"/>
    </row>
    <row r="194" ht="14.25" customHeight="1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1"/>
      <c r="N194" s="41"/>
      <c r="O194" s="41"/>
      <c r="P194" s="41"/>
    </row>
    <row r="195" ht="14.25" customHeight="1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1"/>
      <c r="N195" s="41"/>
      <c r="O195" s="41"/>
      <c r="P195" s="41"/>
    </row>
    <row r="196" ht="14.25" customHeight="1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1"/>
      <c r="N196" s="41"/>
      <c r="O196" s="41"/>
      <c r="P196" s="41"/>
    </row>
    <row r="197" ht="14.25" customHeight="1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1"/>
      <c r="N197" s="41"/>
      <c r="O197" s="41"/>
      <c r="P197" s="41"/>
    </row>
    <row r="198" ht="14.25" customHeight="1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1"/>
      <c r="N198" s="41"/>
      <c r="O198" s="41"/>
      <c r="P198" s="41"/>
    </row>
    <row r="199" ht="14.25" customHeight="1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1"/>
      <c r="N199" s="41"/>
      <c r="O199" s="41"/>
      <c r="P199" s="41"/>
    </row>
    <row r="200" ht="14.25" customHeight="1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1"/>
      <c r="N200" s="41"/>
      <c r="O200" s="41"/>
      <c r="P200" s="41"/>
    </row>
    <row r="201" ht="14.25" customHeight="1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1"/>
      <c r="N201" s="41"/>
      <c r="O201" s="41"/>
      <c r="P201" s="41"/>
    </row>
    <row r="202" ht="14.25" customHeight="1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1"/>
      <c r="N202" s="41"/>
      <c r="O202" s="41"/>
      <c r="P202" s="41"/>
    </row>
    <row r="203" ht="14.25" customHeight="1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1"/>
      <c r="N203" s="41"/>
      <c r="O203" s="41"/>
      <c r="P203" s="41"/>
    </row>
    <row r="204" ht="14.25" customHeight="1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1"/>
      <c r="N204" s="41"/>
      <c r="O204" s="41"/>
      <c r="P204" s="41"/>
    </row>
    <row r="205" ht="14.25" customHeight="1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1"/>
      <c r="N205" s="41"/>
      <c r="O205" s="41"/>
      <c r="P205" s="41"/>
    </row>
    <row r="206" ht="14.25" customHeight="1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1"/>
      <c r="N206" s="41"/>
      <c r="O206" s="41"/>
      <c r="P206" s="41"/>
    </row>
    <row r="207" ht="14.25" customHeight="1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1"/>
      <c r="N207" s="41"/>
      <c r="O207" s="41"/>
      <c r="P207" s="41"/>
    </row>
    <row r="208" ht="14.25" customHeight="1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1"/>
      <c r="N208" s="41"/>
      <c r="O208" s="41"/>
      <c r="P208" s="41"/>
    </row>
    <row r="209" ht="14.25" customHeight="1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1"/>
      <c r="N209" s="41"/>
      <c r="O209" s="41"/>
      <c r="P209" s="41"/>
    </row>
    <row r="210" ht="14.25" customHeight="1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1"/>
      <c r="N210" s="41"/>
      <c r="O210" s="41"/>
      <c r="P210" s="41"/>
    </row>
    <row r="211" ht="14.25" customHeight="1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1"/>
      <c r="N211" s="41"/>
      <c r="O211" s="41"/>
      <c r="P211" s="41"/>
    </row>
    <row r="212" ht="14.25" customHeight="1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1"/>
      <c r="N212" s="41"/>
      <c r="O212" s="41"/>
      <c r="P212" s="41"/>
    </row>
    <row r="213" ht="14.25" customHeight="1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1"/>
      <c r="N213" s="41"/>
      <c r="O213" s="41"/>
      <c r="P213" s="41"/>
    </row>
    <row r="214" ht="14.25" customHeight="1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1"/>
      <c r="N214" s="41"/>
      <c r="O214" s="41"/>
      <c r="P214" s="41"/>
    </row>
    <row r="215" ht="14.25" customHeight="1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1"/>
      <c r="N215" s="41"/>
      <c r="O215" s="41"/>
      <c r="P215" s="41"/>
    </row>
    <row r="216" ht="14.25" customHeight="1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1"/>
      <c r="N216" s="41"/>
      <c r="O216" s="41"/>
      <c r="P216" s="41"/>
    </row>
    <row r="217" ht="14.25" customHeight="1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1"/>
      <c r="N217" s="41"/>
      <c r="O217" s="41"/>
      <c r="P217" s="41"/>
    </row>
    <row r="218" ht="14.25" customHeight="1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1"/>
      <c r="N218" s="41"/>
      <c r="O218" s="41"/>
      <c r="P218" s="41"/>
    </row>
    <row r="219" ht="14.25" customHeight="1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1"/>
      <c r="N219" s="41"/>
      <c r="O219" s="41"/>
      <c r="P219" s="41"/>
    </row>
    <row r="220" ht="14.25" customHeight="1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1"/>
      <c r="N220" s="41"/>
      <c r="O220" s="41"/>
      <c r="P220" s="41"/>
    </row>
    <row r="221" ht="14.25" customHeight="1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1"/>
      <c r="N221" s="41"/>
      <c r="O221" s="41"/>
      <c r="P221" s="41"/>
    </row>
    <row r="222" ht="14.25" customHeight="1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1"/>
      <c r="N222" s="41"/>
      <c r="O222" s="41"/>
      <c r="P222" s="41"/>
    </row>
    <row r="223" ht="14.25" customHeight="1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1"/>
      <c r="N223" s="41"/>
      <c r="O223" s="41"/>
      <c r="P223" s="41"/>
    </row>
    <row r="224" ht="14.25" customHeight="1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1"/>
      <c r="N224" s="41"/>
      <c r="O224" s="41"/>
      <c r="P224" s="41"/>
    </row>
    <row r="225" ht="14.25" customHeight="1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1"/>
      <c r="N225" s="41"/>
      <c r="O225" s="41"/>
      <c r="P225" s="41"/>
    </row>
    <row r="226" ht="14.25" customHeight="1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1"/>
      <c r="N226" s="41"/>
      <c r="O226" s="41"/>
      <c r="P226" s="41"/>
    </row>
    <row r="227" ht="14.25" customHeight="1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1"/>
      <c r="N227" s="41"/>
      <c r="O227" s="41"/>
      <c r="P227" s="41"/>
    </row>
    <row r="228" ht="14.25" customHeight="1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1"/>
      <c r="N228" s="41"/>
      <c r="O228" s="41"/>
      <c r="P228" s="41"/>
    </row>
    <row r="229" ht="14.25" customHeight="1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1"/>
      <c r="N229" s="41"/>
      <c r="O229" s="41"/>
      <c r="P229" s="41"/>
    </row>
    <row r="230" ht="14.25" customHeight="1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1"/>
      <c r="N230" s="41"/>
      <c r="O230" s="41"/>
      <c r="P230" s="41"/>
    </row>
    <row r="231" ht="14.25" customHeight="1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1"/>
      <c r="N231" s="41"/>
      <c r="O231" s="41"/>
      <c r="P231" s="41"/>
    </row>
    <row r="232" ht="14.25" customHeight="1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1"/>
      <c r="N232" s="41"/>
      <c r="O232" s="41"/>
      <c r="P232" s="41"/>
    </row>
    <row r="233" ht="14.25" customHeight="1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1"/>
      <c r="N233" s="41"/>
      <c r="O233" s="41"/>
      <c r="P233" s="41"/>
    </row>
    <row r="234" ht="14.25" customHeight="1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1"/>
      <c r="N234" s="41"/>
      <c r="O234" s="41"/>
      <c r="P234" s="41"/>
    </row>
    <row r="235" ht="14.25" customHeight="1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1"/>
      <c r="N235" s="41"/>
      <c r="O235" s="41"/>
      <c r="P235" s="41"/>
    </row>
    <row r="236" ht="14.25" customHeight="1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1"/>
      <c r="N236" s="41"/>
      <c r="O236" s="41"/>
      <c r="P236" s="41"/>
    </row>
    <row r="237" ht="14.25" customHeight="1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1"/>
      <c r="N237" s="41"/>
      <c r="O237" s="41"/>
      <c r="P237" s="41"/>
    </row>
    <row r="238" ht="14.25" customHeight="1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1"/>
      <c r="N238" s="41"/>
      <c r="O238" s="41"/>
      <c r="P238" s="41"/>
    </row>
    <row r="239" ht="14.25" customHeight="1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1"/>
      <c r="N239" s="41"/>
      <c r="O239" s="41"/>
      <c r="P239" s="41"/>
    </row>
    <row r="240" ht="14.25" customHeight="1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1"/>
      <c r="N240" s="41"/>
      <c r="O240" s="41"/>
      <c r="P240" s="41"/>
    </row>
    <row r="241" ht="14.25" customHeight="1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1"/>
      <c r="N241" s="41"/>
      <c r="O241" s="41"/>
      <c r="P241" s="41"/>
    </row>
    <row r="242" ht="14.25" customHeight="1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1"/>
      <c r="N242" s="41"/>
      <c r="O242" s="41"/>
      <c r="P242" s="41"/>
    </row>
    <row r="243" ht="14.25" customHeight="1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1"/>
      <c r="N243" s="41"/>
      <c r="O243" s="41"/>
      <c r="P243" s="41"/>
    </row>
    <row r="244" ht="14.25" customHeight="1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1"/>
      <c r="N244" s="41"/>
      <c r="O244" s="41"/>
      <c r="P244" s="41"/>
    </row>
    <row r="245" ht="14.25" customHeight="1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1"/>
      <c r="N245" s="41"/>
      <c r="O245" s="41"/>
      <c r="P245" s="41"/>
    </row>
    <row r="246" ht="14.25" customHeight="1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1"/>
      <c r="N246" s="41"/>
      <c r="O246" s="41"/>
      <c r="P246" s="41"/>
    </row>
    <row r="247" ht="14.25" customHeight="1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1"/>
      <c r="N247" s="41"/>
      <c r="O247" s="41"/>
      <c r="P247" s="41"/>
    </row>
    <row r="248" ht="14.25" customHeight="1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1"/>
      <c r="N248" s="41"/>
      <c r="O248" s="41"/>
      <c r="P248" s="41"/>
    </row>
    <row r="249" ht="14.25" customHeight="1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1"/>
      <c r="N249" s="41"/>
      <c r="O249" s="41"/>
      <c r="P249" s="41"/>
    </row>
    <row r="250" ht="14.25" customHeight="1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1"/>
      <c r="N250" s="41"/>
      <c r="O250" s="41"/>
      <c r="P250" s="41"/>
    </row>
    <row r="251" ht="14.25" customHeight="1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1"/>
      <c r="N251" s="41"/>
      <c r="O251" s="41"/>
      <c r="P251" s="41"/>
    </row>
    <row r="252" ht="14.25" customHeight="1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1"/>
      <c r="N252" s="41"/>
      <c r="O252" s="41"/>
      <c r="P252" s="41"/>
    </row>
    <row r="253" ht="14.25" customHeight="1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1"/>
      <c r="N253" s="41"/>
      <c r="O253" s="41"/>
      <c r="P253" s="41"/>
    </row>
    <row r="254" ht="14.25" customHeight="1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1"/>
      <c r="N254" s="41"/>
      <c r="O254" s="41"/>
      <c r="P254" s="41"/>
    </row>
    <row r="255" ht="14.25" customHeight="1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1"/>
      <c r="N255" s="41"/>
      <c r="O255" s="41"/>
      <c r="P255" s="41"/>
    </row>
    <row r="256" ht="14.25" customHeight="1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1"/>
      <c r="N256" s="41"/>
      <c r="O256" s="41"/>
      <c r="P256" s="41"/>
    </row>
    <row r="257" ht="14.25" customHeight="1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1"/>
      <c r="N257" s="41"/>
      <c r="O257" s="41"/>
      <c r="P257" s="41"/>
    </row>
    <row r="258" ht="14.25" customHeight="1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1"/>
      <c r="N258" s="41"/>
      <c r="O258" s="41"/>
      <c r="P258" s="41"/>
    </row>
    <row r="259" ht="14.25" customHeight="1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1"/>
      <c r="N259" s="41"/>
      <c r="O259" s="41"/>
      <c r="P259" s="41"/>
    </row>
    <row r="260" ht="14.25" customHeight="1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1"/>
      <c r="N260" s="41"/>
      <c r="O260" s="41"/>
      <c r="P260" s="41"/>
    </row>
    <row r="261" ht="14.25" customHeight="1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1"/>
      <c r="N261" s="41"/>
      <c r="O261" s="41"/>
      <c r="P261" s="41"/>
    </row>
    <row r="262" ht="14.25" customHeight="1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1"/>
      <c r="N262" s="41"/>
      <c r="O262" s="41"/>
      <c r="P262" s="41"/>
    </row>
    <row r="263" ht="14.25" customHeight="1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1"/>
      <c r="N263" s="41"/>
      <c r="O263" s="41"/>
      <c r="P263" s="41"/>
    </row>
    <row r="264" ht="14.25" customHeight="1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1"/>
      <c r="N264" s="41"/>
      <c r="O264" s="41"/>
      <c r="P264" s="41"/>
    </row>
    <row r="265" ht="14.25" customHeight="1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1"/>
      <c r="N265" s="41"/>
      <c r="O265" s="41"/>
      <c r="P265" s="41"/>
    </row>
    <row r="266" ht="14.25" customHeight="1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1"/>
      <c r="N266" s="41"/>
      <c r="O266" s="41"/>
      <c r="P266" s="41"/>
    </row>
    <row r="267" ht="14.25" customHeight="1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1"/>
      <c r="N267" s="41"/>
      <c r="O267" s="41"/>
      <c r="P267" s="41"/>
    </row>
    <row r="268" ht="14.25" customHeight="1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1"/>
      <c r="N268" s="41"/>
      <c r="O268" s="41"/>
      <c r="P268" s="41"/>
    </row>
    <row r="269" ht="14.25" customHeight="1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1"/>
      <c r="N269" s="41"/>
      <c r="O269" s="41"/>
      <c r="P269" s="41"/>
    </row>
    <row r="270" ht="14.25" customHeight="1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1"/>
      <c r="N270" s="41"/>
      <c r="O270" s="41"/>
      <c r="P270" s="41"/>
    </row>
    <row r="271" ht="14.25" customHeight="1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1"/>
      <c r="N271" s="41"/>
      <c r="O271" s="41"/>
      <c r="P271" s="41"/>
    </row>
    <row r="272" ht="14.25" customHeight="1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1"/>
      <c r="N272" s="41"/>
      <c r="O272" s="41"/>
      <c r="P272" s="41"/>
    </row>
    <row r="273" ht="14.25" customHeight="1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1"/>
      <c r="N273" s="41"/>
      <c r="O273" s="41"/>
      <c r="P273" s="41"/>
    </row>
    <row r="274" ht="14.25" customHeight="1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1"/>
      <c r="N274" s="41"/>
      <c r="O274" s="41"/>
      <c r="P274" s="41"/>
    </row>
    <row r="275" ht="14.25" customHeight="1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1"/>
      <c r="N275" s="41"/>
      <c r="O275" s="41"/>
      <c r="P275" s="41"/>
    </row>
    <row r="276" ht="14.25" customHeight="1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1"/>
      <c r="N276" s="41"/>
      <c r="O276" s="41"/>
      <c r="P276" s="41"/>
    </row>
    <row r="277" ht="14.25" customHeight="1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1"/>
      <c r="N277" s="41"/>
      <c r="O277" s="41"/>
      <c r="P277" s="41"/>
    </row>
    <row r="278" ht="14.25" customHeight="1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1"/>
      <c r="N278" s="41"/>
      <c r="O278" s="41"/>
      <c r="P278" s="41"/>
    </row>
    <row r="279" ht="14.25" customHeight="1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1"/>
      <c r="N279" s="41"/>
      <c r="O279" s="41"/>
      <c r="P279" s="41"/>
    </row>
    <row r="280" ht="14.25" customHeight="1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1"/>
      <c r="N280" s="41"/>
      <c r="O280" s="41"/>
      <c r="P280" s="41"/>
    </row>
    <row r="281" ht="14.25" customHeight="1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1"/>
      <c r="N281" s="41"/>
      <c r="O281" s="41"/>
      <c r="P281" s="41"/>
    </row>
    <row r="282" ht="14.25" customHeight="1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1"/>
      <c r="N282" s="41"/>
      <c r="O282" s="41"/>
      <c r="P282" s="41"/>
    </row>
    <row r="283" ht="14.25" customHeight="1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1"/>
      <c r="N283" s="41"/>
      <c r="O283" s="41"/>
      <c r="P283" s="41"/>
    </row>
    <row r="284" ht="14.25" customHeight="1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1"/>
      <c r="N284" s="41"/>
      <c r="O284" s="41"/>
      <c r="P284" s="41"/>
    </row>
    <row r="285" ht="14.25" customHeight="1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1"/>
      <c r="N285" s="41"/>
      <c r="O285" s="41"/>
      <c r="P285" s="41"/>
    </row>
    <row r="286" ht="14.25" customHeight="1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1"/>
      <c r="N286" s="41"/>
      <c r="O286" s="41"/>
      <c r="P286" s="41"/>
    </row>
    <row r="287" ht="14.25" customHeight="1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1"/>
      <c r="N287" s="41"/>
      <c r="O287" s="41"/>
      <c r="P287" s="41"/>
    </row>
    <row r="288" ht="14.25" customHeight="1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1"/>
      <c r="N288" s="41"/>
      <c r="O288" s="41"/>
      <c r="P288" s="41"/>
    </row>
    <row r="289" ht="14.25" customHeight="1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1"/>
      <c r="N289" s="41"/>
      <c r="O289" s="41"/>
      <c r="P289" s="41"/>
    </row>
    <row r="290" ht="14.25" customHeight="1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1"/>
      <c r="N290" s="41"/>
      <c r="O290" s="41"/>
      <c r="P290" s="41"/>
    </row>
    <row r="291" ht="14.25" customHeight="1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1"/>
      <c r="N291" s="41"/>
      <c r="O291" s="41"/>
      <c r="P291" s="41"/>
    </row>
    <row r="292" ht="14.25" customHeight="1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1"/>
      <c r="N292" s="41"/>
      <c r="O292" s="41"/>
      <c r="P292" s="41"/>
    </row>
    <row r="293" ht="14.25" customHeight="1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1"/>
      <c r="N293" s="41"/>
      <c r="O293" s="41"/>
      <c r="P293" s="41"/>
    </row>
    <row r="294" ht="14.25" customHeight="1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1"/>
      <c r="N294" s="41"/>
      <c r="O294" s="41"/>
      <c r="P294" s="41"/>
    </row>
    <row r="295" ht="14.25" customHeight="1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1"/>
      <c r="N295" s="41"/>
      <c r="O295" s="41"/>
      <c r="P295" s="41"/>
    </row>
    <row r="296" ht="14.25" customHeight="1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1"/>
      <c r="N296" s="41"/>
      <c r="O296" s="41"/>
      <c r="P296" s="41"/>
    </row>
    <row r="297" ht="14.25" customHeight="1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1"/>
      <c r="N297" s="41"/>
      <c r="O297" s="41"/>
      <c r="P297" s="41"/>
    </row>
    <row r="298" ht="14.25" customHeight="1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1"/>
      <c r="N298" s="41"/>
      <c r="O298" s="41"/>
      <c r="P298" s="41"/>
    </row>
    <row r="299" ht="14.25" customHeight="1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1"/>
      <c r="N299" s="41"/>
      <c r="O299" s="41"/>
      <c r="P299" s="41"/>
    </row>
    <row r="300" ht="14.25" customHeight="1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1"/>
      <c r="N300" s="41"/>
      <c r="O300" s="41"/>
      <c r="P300" s="41"/>
    </row>
    <row r="301" ht="14.25" customHeight="1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1"/>
      <c r="N301" s="41"/>
      <c r="O301" s="41"/>
      <c r="P301" s="41"/>
    </row>
    <row r="302" ht="14.25" customHeight="1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1"/>
      <c r="N302" s="41"/>
      <c r="O302" s="41"/>
      <c r="P302" s="41"/>
    </row>
    <row r="303" ht="14.25" customHeight="1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1"/>
      <c r="N303" s="41"/>
      <c r="O303" s="41"/>
      <c r="P303" s="41"/>
    </row>
    <row r="304" ht="14.25" customHeight="1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1"/>
      <c r="N304" s="41"/>
      <c r="O304" s="41"/>
      <c r="P304" s="41"/>
    </row>
    <row r="305" ht="14.25" customHeight="1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1"/>
      <c r="N305" s="41"/>
      <c r="O305" s="41"/>
      <c r="P305" s="41"/>
    </row>
    <row r="306" ht="14.25" customHeight="1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1"/>
      <c r="N306" s="41"/>
      <c r="O306" s="41"/>
      <c r="P306" s="41"/>
    </row>
    <row r="307" ht="14.25" customHeight="1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1"/>
      <c r="N307" s="41"/>
      <c r="O307" s="41"/>
      <c r="P307" s="41"/>
    </row>
    <row r="308" ht="14.25" customHeight="1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1"/>
      <c r="N308" s="41"/>
      <c r="O308" s="41"/>
      <c r="P308" s="41"/>
    </row>
    <row r="309" ht="14.25" customHeight="1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1"/>
      <c r="N309" s="41"/>
      <c r="O309" s="41"/>
      <c r="P309" s="41"/>
    </row>
    <row r="310" ht="14.25" customHeight="1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1"/>
      <c r="N310" s="41"/>
      <c r="O310" s="41"/>
      <c r="P310" s="41"/>
    </row>
    <row r="311" ht="14.25" customHeight="1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1"/>
      <c r="N311" s="41"/>
      <c r="O311" s="41"/>
      <c r="P311" s="41"/>
    </row>
    <row r="312" ht="14.25" customHeight="1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1"/>
      <c r="N312" s="41"/>
      <c r="O312" s="41"/>
      <c r="P312" s="41"/>
    </row>
    <row r="313" ht="14.25" customHeight="1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1"/>
      <c r="N313" s="41"/>
      <c r="O313" s="41"/>
      <c r="P313" s="41"/>
    </row>
    <row r="314" ht="14.25" customHeight="1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1"/>
      <c r="N314" s="41"/>
      <c r="O314" s="41"/>
      <c r="P314" s="41"/>
    </row>
    <row r="315" ht="14.25" customHeight="1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1"/>
      <c r="N315" s="41"/>
      <c r="O315" s="41"/>
      <c r="P315" s="41"/>
    </row>
    <row r="316" ht="14.25" customHeight="1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1"/>
      <c r="N316" s="41"/>
      <c r="O316" s="41"/>
      <c r="P316" s="41"/>
    </row>
    <row r="317" ht="14.25" customHeight="1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1"/>
      <c r="N317" s="41"/>
      <c r="O317" s="41"/>
      <c r="P317" s="41"/>
    </row>
    <row r="318" ht="14.25" customHeight="1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1"/>
      <c r="N318" s="41"/>
      <c r="O318" s="41"/>
      <c r="P318" s="41"/>
    </row>
    <row r="319" ht="14.25" customHeight="1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1"/>
      <c r="N319" s="41"/>
      <c r="O319" s="41"/>
      <c r="P319" s="41"/>
    </row>
    <row r="320" ht="14.25" customHeight="1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1"/>
      <c r="N320" s="41"/>
      <c r="O320" s="41"/>
      <c r="P320" s="41"/>
    </row>
    <row r="321" ht="14.25" customHeight="1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1"/>
      <c r="N321" s="41"/>
      <c r="O321" s="41"/>
      <c r="P321" s="41"/>
    </row>
    <row r="322" ht="14.25" customHeight="1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1"/>
      <c r="N322" s="41"/>
      <c r="O322" s="41"/>
      <c r="P322" s="41"/>
    </row>
    <row r="323" ht="14.25" customHeight="1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1"/>
      <c r="N323" s="41"/>
      <c r="O323" s="41"/>
      <c r="P323" s="41"/>
    </row>
    <row r="324" ht="14.25" customHeight="1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1"/>
      <c r="N324" s="41"/>
      <c r="O324" s="41"/>
      <c r="P324" s="41"/>
    </row>
    <row r="325" ht="14.25" customHeight="1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1"/>
      <c r="N325" s="41"/>
      <c r="O325" s="41"/>
      <c r="P325" s="41"/>
    </row>
    <row r="326" ht="14.25" customHeight="1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1"/>
      <c r="N326" s="41"/>
      <c r="O326" s="41"/>
      <c r="P326" s="41"/>
    </row>
    <row r="327" ht="14.25" customHeight="1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1"/>
      <c r="N327" s="41"/>
      <c r="O327" s="41"/>
      <c r="P327" s="41"/>
    </row>
    <row r="328" ht="14.25" customHeight="1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1"/>
      <c r="N328" s="41"/>
      <c r="O328" s="41"/>
      <c r="P328" s="41"/>
    </row>
    <row r="329" ht="14.25" customHeight="1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1"/>
      <c r="N329" s="41"/>
      <c r="O329" s="41"/>
      <c r="P329" s="41"/>
    </row>
    <row r="330" ht="14.25" customHeight="1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1"/>
      <c r="N330" s="41"/>
      <c r="O330" s="41"/>
      <c r="P330" s="41"/>
    </row>
    <row r="331" ht="14.25" customHeight="1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1"/>
      <c r="N331" s="41"/>
      <c r="O331" s="41"/>
      <c r="P331" s="41"/>
    </row>
    <row r="332" ht="14.25" customHeight="1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1"/>
      <c r="N332" s="41"/>
      <c r="O332" s="41"/>
      <c r="P332" s="41"/>
    </row>
    <row r="333" ht="14.25" customHeight="1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1"/>
      <c r="N333" s="41"/>
      <c r="O333" s="41"/>
      <c r="P333" s="41"/>
    </row>
    <row r="334" ht="14.25" customHeight="1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1"/>
      <c r="N334" s="41"/>
      <c r="O334" s="41"/>
      <c r="P334" s="41"/>
    </row>
    <row r="335" ht="14.25" customHeight="1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1"/>
      <c r="N335" s="41"/>
      <c r="O335" s="41"/>
      <c r="P335" s="41"/>
    </row>
    <row r="336" ht="14.25" customHeight="1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1"/>
      <c r="N336" s="41"/>
      <c r="O336" s="41"/>
      <c r="P336" s="41"/>
    </row>
    <row r="337" ht="14.25" customHeight="1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1"/>
      <c r="N337" s="41"/>
      <c r="O337" s="41"/>
      <c r="P337" s="41"/>
    </row>
    <row r="338" ht="14.25" customHeight="1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1"/>
      <c r="N338" s="41"/>
      <c r="O338" s="41"/>
      <c r="P338" s="41"/>
    </row>
    <row r="339" ht="14.25" customHeight="1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1"/>
      <c r="N339" s="41"/>
      <c r="O339" s="41"/>
      <c r="P339" s="41"/>
    </row>
    <row r="340" ht="14.25" customHeight="1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1"/>
      <c r="N340" s="41"/>
      <c r="O340" s="41"/>
      <c r="P340" s="41"/>
    </row>
    <row r="341" ht="14.25" customHeight="1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1"/>
      <c r="N341" s="41"/>
      <c r="O341" s="41"/>
      <c r="P341" s="41"/>
    </row>
    <row r="342" ht="14.25" customHeight="1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1"/>
      <c r="N342" s="41"/>
      <c r="O342" s="41"/>
      <c r="P342" s="41"/>
    </row>
    <row r="343" ht="14.25" customHeight="1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1"/>
      <c r="N343" s="41"/>
      <c r="O343" s="41"/>
      <c r="P343" s="41"/>
    </row>
    <row r="344" ht="14.25" customHeight="1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1"/>
      <c r="N344" s="41"/>
      <c r="O344" s="41"/>
      <c r="P344" s="41"/>
    </row>
    <row r="345" ht="14.25" customHeight="1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1"/>
      <c r="N345" s="41"/>
      <c r="O345" s="41"/>
      <c r="P345" s="41"/>
    </row>
    <row r="346" ht="14.25" customHeight="1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1"/>
      <c r="N346" s="41"/>
      <c r="O346" s="41"/>
      <c r="P346" s="41"/>
    </row>
    <row r="347" ht="14.25" customHeight="1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1"/>
      <c r="N347" s="41"/>
      <c r="O347" s="41"/>
      <c r="P347" s="41"/>
    </row>
    <row r="348" ht="14.25" customHeight="1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1"/>
      <c r="N348" s="41"/>
      <c r="O348" s="41"/>
      <c r="P348" s="41"/>
    </row>
    <row r="349" ht="14.25" customHeight="1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1"/>
      <c r="N349" s="41"/>
      <c r="O349" s="41"/>
      <c r="P349" s="41"/>
    </row>
    <row r="350" ht="14.25" customHeight="1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1"/>
      <c r="N350" s="41"/>
      <c r="O350" s="41"/>
      <c r="P350" s="41"/>
    </row>
    <row r="351" ht="14.25" customHeight="1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1"/>
      <c r="N351" s="41"/>
      <c r="O351" s="41"/>
      <c r="P351" s="41"/>
    </row>
    <row r="352" ht="14.25" customHeight="1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1"/>
      <c r="N352" s="41"/>
      <c r="O352" s="41"/>
      <c r="P352" s="41"/>
    </row>
    <row r="353" ht="14.25" customHeight="1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1"/>
      <c r="N353" s="41"/>
      <c r="O353" s="41"/>
      <c r="P353" s="41"/>
    </row>
    <row r="354" ht="14.25" customHeight="1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1"/>
      <c r="N354" s="41"/>
      <c r="O354" s="41"/>
      <c r="P354" s="41"/>
    </row>
    <row r="355" ht="14.25" customHeight="1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1"/>
      <c r="N355" s="41"/>
      <c r="O355" s="41"/>
      <c r="P355" s="41"/>
    </row>
    <row r="356" ht="14.25" customHeight="1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1"/>
      <c r="N356" s="41"/>
      <c r="O356" s="41"/>
      <c r="P356" s="41"/>
    </row>
    <row r="357" ht="14.25" customHeight="1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1"/>
      <c r="N357" s="41"/>
      <c r="O357" s="41"/>
      <c r="P357" s="41"/>
    </row>
    <row r="358" ht="14.25" customHeight="1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1"/>
      <c r="N358" s="41"/>
      <c r="O358" s="41"/>
      <c r="P358" s="41"/>
    </row>
    <row r="359" ht="14.25" customHeight="1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1"/>
      <c r="N359" s="41"/>
      <c r="O359" s="41"/>
      <c r="P359" s="41"/>
    </row>
    <row r="360" ht="14.25" customHeight="1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1"/>
      <c r="N360" s="41"/>
      <c r="O360" s="41"/>
      <c r="P360" s="41"/>
    </row>
    <row r="361" ht="14.25" customHeight="1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1"/>
      <c r="N361" s="41"/>
      <c r="O361" s="41"/>
      <c r="P361" s="41"/>
    </row>
    <row r="362" ht="14.25" customHeight="1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1"/>
      <c r="N362" s="41"/>
      <c r="O362" s="41"/>
      <c r="P362" s="41"/>
    </row>
    <row r="363" ht="14.25" customHeight="1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1"/>
      <c r="N363" s="41"/>
      <c r="O363" s="41"/>
      <c r="P363" s="41"/>
    </row>
    <row r="364" ht="14.25" customHeight="1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1"/>
      <c r="N364" s="41"/>
      <c r="O364" s="41"/>
      <c r="P364" s="41"/>
    </row>
    <row r="365" ht="14.25" customHeight="1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1"/>
      <c r="N365" s="41"/>
      <c r="O365" s="41"/>
      <c r="P365" s="41"/>
    </row>
    <row r="366" ht="14.25" customHeight="1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1"/>
      <c r="N366" s="41"/>
      <c r="O366" s="41"/>
      <c r="P366" s="41"/>
    </row>
    <row r="367" ht="14.25" customHeight="1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1"/>
      <c r="N367" s="41"/>
      <c r="O367" s="41"/>
      <c r="P367" s="41"/>
    </row>
    <row r="368" ht="14.25" customHeight="1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1"/>
      <c r="N368" s="41"/>
      <c r="O368" s="41"/>
      <c r="P368" s="41"/>
    </row>
    <row r="369" ht="14.25" customHeight="1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1"/>
      <c r="N369" s="41"/>
      <c r="O369" s="41"/>
      <c r="P369" s="41"/>
    </row>
    <row r="370" ht="14.25" customHeight="1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1"/>
      <c r="N370" s="41"/>
      <c r="O370" s="41"/>
      <c r="P370" s="41"/>
    </row>
    <row r="371" ht="14.25" customHeight="1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1"/>
      <c r="N371" s="41"/>
      <c r="O371" s="41"/>
      <c r="P371" s="41"/>
    </row>
    <row r="372" ht="14.25" customHeight="1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1"/>
      <c r="N372" s="41"/>
      <c r="O372" s="41"/>
      <c r="P372" s="41"/>
    </row>
    <row r="373" ht="14.25" customHeight="1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1"/>
      <c r="N373" s="41"/>
      <c r="O373" s="41"/>
      <c r="P373" s="41"/>
    </row>
    <row r="374" ht="14.25" customHeight="1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1"/>
      <c r="N374" s="41"/>
      <c r="O374" s="41"/>
      <c r="P374" s="41"/>
    </row>
    <row r="375" ht="14.25" customHeight="1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1"/>
      <c r="N375" s="41"/>
      <c r="O375" s="41"/>
      <c r="P375" s="41"/>
    </row>
    <row r="376" ht="14.25" customHeight="1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1"/>
      <c r="N376" s="41"/>
      <c r="O376" s="41"/>
      <c r="P376" s="41"/>
    </row>
    <row r="377" ht="14.25" customHeight="1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1"/>
      <c r="N377" s="41"/>
      <c r="O377" s="41"/>
      <c r="P377" s="41"/>
    </row>
    <row r="378" ht="14.25" customHeight="1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1"/>
      <c r="N378" s="41"/>
      <c r="O378" s="41"/>
      <c r="P378" s="41"/>
    </row>
    <row r="379" ht="14.25" customHeight="1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1"/>
      <c r="N379" s="41"/>
      <c r="O379" s="41"/>
      <c r="P379" s="41"/>
    </row>
    <row r="380" ht="14.25" customHeight="1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1"/>
      <c r="N380" s="41"/>
      <c r="O380" s="41"/>
      <c r="P380" s="41"/>
    </row>
    <row r="381" ht="14.25" customHeight="1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1"/>
      <c r="N381" s="41"/>
      <c r="O381" s="41"/>
      <c r="P381" s="41"/>
    </row>
    <row r="382" ht="14.25" customHeight="1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1"/>
      <c r="N382" s="41"/>
      <c r="O382" s="41"/>
      <c r="P382" s="41"/>
    </row>
    <row r="383" ht="14.25" customHeight="1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1"/>
      <c r="N383" s="41"/>
      <c r="O383" s="41"/>
      <c r="P383" s="41"/>
    </row>
    <row r="384" ht="14.25" customHeight="1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1"/>
      <c r="N384" s="41"/>
      <c r="O384" s="41"/>
      <c r="P384" s="41"/>
    </row>
    <row r="385" ht="14.25" customHeight="1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1"/>
      <c r="N385" s="41"/>
      <c r="O385" s="41"/>
      <c r="P385" s="41"/>
    </row>
    <row r="386" ht="14.25" customHeight="1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1"/>
      <c r="N386" s="41"/>
      <c r="O386" s="41"/>
      <c r="P386" s="41"/>
    </row>
    <row r="387" ht="14.25" customHeight="1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1"/>
      <c r="N387" s="41"/>
      <c r="O387" s="41"/>
      <c r="P387" s="41"/>
    </row>
    <row r="388" ht="14.25" customHeight="1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1"/>
      <c r="N388" s="41"/>
      <c r="O388" s="41"/>
      <c r="P388" s="41"/>
    </row>
    <row r="389" ht="14.25" customHeight="1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1"/>
      <c r="N389" s="41"/>
      <c r="O389" s="41"/>
      <c r="P389" s="41"/>
    </row>
    <row r="390" ht="14.25" customHeight="1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1"/>
      <c r="N390" s="41"/>
      <c r="O390" s="41"/>
      <c r="P390" s="41"/>
    </row>
    <row r="391" ht="14.25" customHeight="1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1"/>
      <c r="N391" s="41"/>
      <c r="O391" s="41"/>
      <c r="P391" s="41"/>
    </row>
    <row r="392" ht="14.25" customHeight="1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1"/>
      <c r="N392" s="41"/>
      <c r="O392" s="41"/>
      <c r="P392" s="41"/>
    </row>
    <row r="393" ht="14.25" customHeight="1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1"/>
      <c r="N393" s="41"/>
      <c r="O393" s="41"/>
      <c r="P393" s="41"/>
    </row>
    <row r="394" ht="14.25" customHeight="1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1"/>
      <c r="N394" s="41"/>
      <c r="O394" s="41"/>
      <c r="P394" s="41"/>
    </row>
    <row r="395" ht="14.25" customHeight="1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1"/>
      <c r="N395" s="41"/>
      <c r="O395" s="41"/>
      <c r="P395" s="41"/>
    </row>
    <row r="396" ht="14.25" customHeight="1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1"/>
      <c r="N396" s="41"/>
      <c r="O396" s="41"/>
      <c r="P396" s="41"/>
    </row>
    <row r="397" ht="14.25" customHeight="1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1"/>
      <c r="N397" s="41"/>
      <c r="O397" s="41"/>
      <c r="P397" s="41"/>
    </row>
    <row r="398" ht="14.25" customHeight="1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1"/>
      <c r="N398" s="41"/>
      <c r="O398" s="41"/>
      <c r="P398" s="41"/>
    </row>
    <row r="399" ht="14.25" customHeight="1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1"/>
      <c r="N399" s="41"/>
      <c r="O399" s="41"/>
      <c r="P399" s="41"/>
    </row>
    <row r="400" ht="14.25" customHeight="1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1"/>
      <c r="N400" s="41"/>
      <c r="O400" s="41"/>
      <c r="P400" s="41"/>
    </row>
    <row r="401" ht="14.25" customHeight="1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1"/>
      <c r="N401" s="41"/>
      <c r="O401" s="41"/>
      <c r="P401" s="41"/>
    </row>
    <row r="402" ht="14.25" customHeight="1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1"/>
      <c r="N402" s="41"/>
      <c r="O402" s="41"/>
      <c r="P402" s="41"/>
    </row>
    <row r="403" ht="14.25" customHeight="1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1"/>
      <c r="N403" s="41"/>
      <c r="O403" s="41"/>
      <c r="P403" s="41"/>
    </row>
    <row r="404" ht="14.25" customHeight="1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1"/>
      <c r="N404" s="41"/>
      <c r="O404" s="41"/>
      <c r="P404" s="41"/>
    </row>
    <row r="405" ht="14.25" customHeight="1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1"/>
      <c r="N405" s="41"/>
      <c r="O405" s="41"/>
      <c r="P405" s="41"/>
    </row>
    <row r="406" ht="14.25" customHeight="1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1"/>
      <c r="N406" s="41"/>
      <c r="O406" s="41"/>
      <c r="P406" s="41"/>
    </row>
    <row r="407" ht="14.25" customHeight="1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1"/>
      <c r="N407" s="41"/>
      <c r="O407" s="41"/>
      <c r="P407" s="41"/>
    </row>
    <row r="408" ht="14.25" customHeight="1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1"/>
      <c r="N408" s="41"/>
      <c r="O408" s="41"/>
      <c r="P408" s="41"/>
    </row>
    <row r="409" ht="14.25" customHeight="1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1"/>
      <c r="N409" s="41"/>
      <c r="O409" s="41"/>
      <c r="P409" s="41"/>
    </row>
    <row r="410" ht="14.25" customHeight="1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1"/>
      <c r="N410" s="41"/>
      <c r="O410" s="41"/>
      <c r="P410" s="41"/>
    </row>
    <row r="411" ht="14.25" customHeight="1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1"/>
      <c r="N411" s="41"/>
      <c r="O411" s="41"/>
      <c r="P411" s="41"/>
    </row>
    <row r="412" ht="14.25" customHeight="1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1"/>
      <c r="N412" s="41"/>
      <c r="O412" s="41"/>
      <c r="P412" s="41"/>
    </row>
    <row r="413" ht="14.25" customHeight="1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1"/>
      <c r="N413" s="41"/>
      <c r="O413" s="41"/>
      <c r="P413" s="41"/>
    </row>
    <row r="414" ht="14.25" customHeight="1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1"/>
      <c r="N414" s="41"/>
      <c r="O414" s="41"/>
      <c r="P414" s="41"/>
    </row>
    <row r="415" ht="14.25" customHeight="1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1"/>
      <c r="N415" s="41"/>
      <c r="O415" s="41"/>
      <c r="P415" s="41"/>
    </row>
    <row r="416" ht="14.25" customHeight="1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1"/>
      <c r="N416" s="41"/>
      <c r="O416" s="41"/>
      <c r="P416" s="41"/>
    </row>
    <row r="417" ht="14.25" customHeight="1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1"/>
      <c r="N417" s="41"/>
      <c r="O417" s="41"/>
      <c r="P417" s="41"/>
    </row>
    <row r="418" ht="14.25" customHeight="1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1"/>
      <c r="N418" s="41"/>
      <c r="O418" s="41"/>
      <c r="P418" s="41"/>
    </row>
    <row r="419" ht="14.25" customHeight="1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1"/>
      <c r="N419" s="41"/>
      <c r="O419" s="41"/>
      <c r="P419" s="41"/>
    </row>
    <row r="420" ht="14.25" customHeight="1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1"/>
      <c r="N420" s="41"/>
      <c r="O420" s="41"/>
      <c r="P420" s="41"/>
    </row>
    <row r="421" ht="14.25" customHeight="1">
      <c r="A421" s="41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1"/>
      <c r="N421" s="41"/>
      <c r="O421" s="41"/>
      <c r="P421" s="41"/>
    </row>
    <row r="422" ht="14.25" customHeight="1">
      <c r="A422" s="41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1"/>
      <c r="N422" s="41"/>
      <c r="O422" s="41"/>
      <c r="P422" s="41"/>
    </row>
    <row r="423" ht="14.25" customHeight="1">
      <c r="A423" s="41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1"/>
      <c r="N423" s="41"/>
      <c r="O423" s="41"/>
      <c r="P423" s="41"/>
    </row>
    <row r="424" ht="14.25" customHeight="1">
      <c r="A424" s="41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1"/>
      <c r="N424" s="41"/>
      <c r="O424" s="41"/>
      <c r="P424" s="41"/>
    </row>
    <row r="425" ht="14.25" customHeight="1">
      <c r="A425" s="41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1"/>
      <c r="N425" s="41"/>
      <c r="O425" s="41"/>
      <c r="P425" s="41"/>
    </row>
    <row r="426" ht="14.25" customHeight="1">
      <c r="A426" s="41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1"/>
      <c r="N426" s="41"/>
      <c r="O426" s="41"/>
      <c r="P426" s="41"/>
    </row>
    <row r="427" ht="14.25" customHeight="1">
      <c r="A427" s="41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1"/>
      <c r="N427" s="41"/>
      <c r="O427" s="41"/>
      <c r="P427" s="41"/>
    </row>
    <row r="428" ht="14.25" customHeight="1">
      <c r="A428" s="41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1"/>
      <c r="N428" s="41"/>
      <c r="O428" s="41"/>
      <c r="P428" s="41"/>
    </row>
    <row r="429" ht="14.25" customHeight="1">
      <c r="A429" s="41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1"/>
      <c r="N429" s="41"/>
      <c r="O429" s="41"/>
      <c r="P429" s="41"/>
    </row>
    <row r="430" ht="14.25" customHeight="1">
      <c r="A430" s="41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1"/>
      <c r="N430" s="41"/>
      <c r="O430" s="41"/>
      <c r="P430" s="41"/>
    </row>
    <row r="431" ht="14.25" customHeight="1">
      <c r="A431" s="41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1"/>
      <c r="N431" s="41"/>
      <c r="O431" s="41"/>
      <c r="P431" s="41"/>
    </row>
    <row r="432" ht="14.25" customHeight="1">
      <c r="A432" s="41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1"/>
      <c r="N432" s="41"/>
      <c r="O432" s="41"/>
      <c r="P432" s="41"/>
    </row>
    <row r="433" ht="14.25" customHeight="1">
      <c r="A433" s="41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1"/>
      <c r="N433" s="41"/>
      <c r="O433" s="41"/>
      <c r="P433" s="41"/>
    </row>
    <row r="434" ht="14.25" customHeight="1">
      <c r="A434" s="41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1"/>
      <c r="N434" s="41"/>
      <c r="O434" s="41"/>
      <c r="P434" s="41"/>
    </row>
    <row r="435" ht="14.25" customHeight="1">
      <c r="A435" s="41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1"/>
      <c r="N435" s="41"/>
      <c r="O435" s="41"/>
      <c r="P435" s="41"/>
    </row>
    <row r="436" ht="14.25" customHeight="1">
      <c r="A436" s="41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1"/>
      <c r="N436" s="41"/>
      <c r="O436" s="41"/>
      <c r="P436" s="41"/>
    </row>
    <row r="437" ht="14.25" customHeight="1">
      <c r="A437" s="41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1"/>
      <c r="N437" s="41"/>
      <c r="O437" s="41"/>
      <c r="P437" s="41"/>
    </row>
    <row r="438" ht="14.25" customHeight="1">
      <c r="A438" s="41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1"/>
      <c r="N438" s="41"/>
      <c r="O438" s="41"/>
      <c r="P438" s="41"/>
    </row>
    <row r="439" ht="14.25" customHeight="1">
      <c r="A439" s="41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1"/>
      <c r="N439" s="41"/>
      <c r="O439" s="41"/>
      <c r="P439" s="41"/>
    </row>
    <row r="440" ht="14.25" customHeight="1">
      <c r="A440" s="41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1"/>
      <c r="N440" s="41"/>
      <c r="O440" s="41"/>
      <c r="P440" s="41"/>
    </row>
    <row r="441" ht="14.25" customHeight="1">
      <c r="A441" s="41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1"/>
      <c r="N441" s="41"/>
      <c r="O441" s="41"/>
      <c r="P441" s="41"/>
    </row>
    <row r="442" ht="14.25" customHeight="1">
      <c r="A442" s="41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1"/>
      <c r="N442" s="41"/>
      <c r="O442" s="41"/>
      <c r="P442" s="41"/>
    </row>
    <row r="443" ht="14.25" customHeight="1">
      <c r="A443" s="41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1"/>
      <c r="N443" s="41"/>
      <c r="O443" s="41"/>
      <c r="P443" s="41"/>
    </row>
    <row r="444" ht="14.25" customHeight="1">
      <c r="A444" s="41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1"/>
      <c r="N444" s="41"/>
      <c r="O444" s="41"/>
      <c r="P444" s="41"/>
    </row>
    <row r="445" ht="14.25" customHeight="1">
      <c r="A445" s="41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1"/>
      <c r="N445" s="41"/>
      <c r="O445" s="41"/>
      <c r="P445" s="41"/>
    </row>
    <row r="446" ht="14.25" customHeight="1">
      <c r="A446" s="41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1"/>
      <c r="N446" s="41"/>
      <c r="O446" s="41"/>
      <c r="P446" s="41"/>
    </row>
    <row r="447" ht="14.25" customHeight="1">
      <c r="A447" s="41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1"/>
      <c r="N447" s="41"/>
      <c r="O447" s="41"/>
      <c r="P447" s="41"/>
    </row>
    <row r="448" ht="14.25" customHeight="1">
      <c r="A448" s="41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1"/>
      <c r="N448" s="41"/>
      <c r="O448" s="41"/>
      <c r="P448" s="41"/>
    </row>
    <row r="449" ht="14.25" customHeight="1">
      <c r="A449" s="41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1"/>
      <c r="N449" s="41"/>
      <c r="O449" s="41"/>
      <c r="P449" s="41"/>
    </row>
    <row r="450" ht="14.25" customHeight="1">
      <c r="A450" s="41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1"/>
      <c r="N450" s="41"/>
      <c r="O450" s="41"/>
      <c r="P450" s="41"/>
    </row>
    <row r="451" ht="14.25" customHeight="1">
      <c r="A451" s="41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1"/>
      <c r="N451" s="41"/>
      <c r="O451" s="41"/>
      <c r="P451" s="41"/>
    </row>
    <row r="452" ht="14.25" customHeight="1">
      <c r="A452" s="41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1"/>
      <c r="N452" s="41"/>
      <c r="O452" s="41"/>
      <c r="P452" s="41"/>
    </row>
    <row r="453" ht="14.25" customHeight="1">
      <c r="A453" s="41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1"/>
      <c r="N453" s="41"/>
      <c r="O453" s="41"/>
      <c r="P453" s="41"/>
    </row>
    <row r="454" ht="14.25" customHeight="1">
      <c r="A454" s="41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1"/>
      <c r="N454" s="41"/>
      <c r="O454" s="41"/>
      <c r="P454" s="41"/>
    </row>
    <row r="455" ht="14.25" customHeight="1">
      <c r="A455" s="41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1"/>
      <c r="N455" s="41"/>
      <c r="O455" s="41"/>
      <c r="P455" s="41"/>
    </row>
    <row r="456" ht="14.25" customHeight="1">
      <c r="A456" s="41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1"/>
      <c r="N456" s="41"/>
      <c r="O456" s="41"/>
      <c r="P456" s="41"/>
    </row>
    <row r="457" ht="14.25" customHeight="1">
      <c r="A457" s="41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1"/>
      <c r="N457" s="41"/>
      <c r="O457" s="41"/>
      <c r="P457" s="41"/>
    </row>
    <row r="458" ht="14.25" customHeight="1">
      <c r="A458" s="41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1"/>
      <c r="N458" s="41"/>
      <c r="O458" s="41"/>
      <c r="P458" s="41"/>
    </row>
    <row r="459" ht="14.25" customHeight="1">
      <c r="A459" s="41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1"/>
      <c r="N459" s="41"/>
      <c r="O459" s="41"/>
      <c r="P459" s="41"/>
    </row>
    <row r="460" ht="14.25" customHeight="1">
      <c r="A460" s="41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1"/>
      <c r="N460" s="41"/>
      <c r="O460" s="41"/>
      <c r="P460" s="41"/>
    </row>
    <row r="461" ht="14.25" customHeight="1">
      <c r="A461" s="41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1"/>
      <c r="N461" s="41"/>
      <c r="O461" s="41"/>
      <c r="P461" s="41"/>
    </row>
    <row r="462" ht="14.25" customHeight="1">
      <c r="A462" s="41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1"/>
      <c r="N462" s="41"/>
      <c r="O462" s="41"/>
      <c r="P462" s="41"/>
    </row>
    <row r="463" ht="14.25" customHeight="1">
      <c r="A463" s="41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1"/>
      <c r="N463" s="41"/>
      <c r="O463" s="41"/>
      <c r="P463" s="41"/>
    </row>
    <row r="464" ht="14.25" customHeight="1">
      <c r="A464" s="41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1"/>
      <c r="N464" s="41"/>
      <c r="O464" s="41"/>
      <c r="P464" s="41"/>
    </row>
    <row r="465" ht="14.25" customHeight="1">
      <c r="A465" s="41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1"/>
      <c r="N465" s="41"/>
      <c r="O465" s="41"/>
      <c r="P465" s="41"/>
    </row>
    <row r="466" ht="14.25" customHeight="1">
      <c r="A466" s="41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1"/>
      <c r="N466" s="41"/>
      <c r="O466" s="41"/>
      <c r="P466" s="41"/>
    </row>
    <row r="467" ht="14.25" customHeight="1">
      <c r="A467" s="41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1"/>
      <c r="N467" s="41"/>
      <c r="O467" s="41"/>
      <c r="P467" s="41"/>
    </row>
    <row r="468" ht="14.25" customHeight="1">
      <c r="A468" s="41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1"/>
      <c r="N468" s="41"/>
      <c r="O468" s="41"/>
      <c r="P468" s="41"/>
    </row>
    <row r="469" ht="14.25" customHeight="1">
      <c r="A469" s="41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1"/>
      <c r="N469" s="41"/>
      <c r="O469" s="41"/>
      <c r="P469" s="41"/>
    </row>
    <row r="470" ht="14.25" customHeight="1">
      <c r="A470" s="41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1"/>
      <c r="N470" s="41"/>
      <c r="O470" s="41"/>
      <c r="P470" s="41"/>
    </row>
    <row r="471" ht="14.25" customHeight="1">
      <c r="A471" s="41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1"/>
      <c r="N471" s="41"/>
      <c r="O471" s="41"/>
      <c r="P471" s="41"/>
    </row>
    <row r="472" ht="14.25" customHeight="1">
      <c r="A472" s="41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1"/>
      <c r="N472" s="41"/>
      <c r="O472" s="41"/>
      <c r="P472" s="41"/>
    </row>
    <row r="473" ht="14.25" customHeight="1">
      <c r="A473" s="41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1"/>
      <c r="N473" s="41"/>
      <c r="O473" s="41"/>
      <c r="P473" s="41"/>
    </row>
    <row r="474" ht="14.25" customHeight="1">
      <c r="A474" s="41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1"/>
      <c r="N474" s="41"/>
      <c r="O474" s="41"/>
      <c r="P474" s="41"/>
    </row>
    <row r="475" ht="14.25" customHeight="1">
      <c r="A475" s="41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1"/>
      <c r="N475" s="41"/>
      <c r="O475" s="41"/>
      <c r="P475" s="41"/>
    </row>
    <row r="476" ht="14.25" customHeight="1">
      <c r="A476" s="41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1"/>
      <c r="N476" s="41"/>
      <c r="O476" s="41"/>
      <c r="P476" s="41"/>
    </row>
    <row r="477" ht="14.25" customHeight="1">
      <c r="A477" s="41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1"/>
      <c r="N477" s="41"/>
      <c r="O477" s="41"/>
      <c r="P477" s="41"/>
    </row>
    <row r="478" ht="14.25" customHeight="1">
      <c r="A478" s="41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1"/>
      <c r="N478" s="41"/>
      <c r="O478" s="41"/>
      <c r="P478" s="41"/>
    </row>
    <row r="479" ht="14.25" customHeight="1">
      <c r="A479" s="41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1"/>
      <c r="N479" s="41"/>
      <c r="O479" s="41"/>
      <c r="P479" s="41"/>
    </row>
    <row r="480" ht="14.25" customHeight="1">
      <c r="A480" s="41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1"/>
      <c r="N480" s="41"/>
      <c r="O480" s="41"/>
      <c r="P480" s="41"/>
    </row>
    <row r="481" ht="14.25" customHeight="1">
      <c r="A481" s="41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1"/>
      <c r="N481" s="41"/>
      <c r="O481" s="41"/>
      <c r="P481" s="41"/>
    </row>
    <row r="482" ht="14.25" customHeight="1">
      <c r="A482" s="41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1"/>
      <c r="N482" s="41"/>
      <c r="O482" s="41"/>
      <c r="P482" s="41"/>
    </row>
    <row r="483" ht="14.25" customHeight="1">
      <c r="A483" s="41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1"/>
      <c r="N483" s="41"/>
      <c r="O483" s="41"/>
      <c r="P483" s="41"/>
    </row>
    <row r="484" ht="14.25" customHeight="1">
      <c r="A484" s="41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1"/>
      <c r="N484" s="41"/>
      <c r="O484" s="41"/>
      <c r="P484" s="41"/>
    </row>
    <row r="485" ht="14.25" customHeight="1">
      <c r="A485" s="41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1"/>
      <c r="N485" s="41"/>
      <c r="O485" s="41"/>
      <c r="P485" s="41"/>
    </row>
    <row r="486" ht="14.25" customHeight="1">
      <c r="A486" s="41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1"/>
      <c r="N486" s="41"/>
      <c r="O486" s="41"/>
      <c r="P486" s="41"/>
    </row>
    <row r="487" ht="14.25" customHeight="1">
      <c r="A487" s="41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1"/>
      <c r="N487" s="41"/>
      <c r="O487" s="41"/>
      <c r="P487" s="41"/>
    </row>
    <row r="488" ht="14.25" customHeight="1">
      <c r="A488" s="41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1"/>
      <c r="N488" s="41"/>
      <c r="O488" s="41"/>
      <c r="P488" s="41"/>
    </row>
    <row r="489" ht="14.25" customHeight="1">
      <c r="A489" s="41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1"/>
      <c r="N489" s="41"/>
      <c r="O489" s="41"/>
      <c r="P489" s="41"/>
    </row>
    <row r="490" ht="14.25" customHeight="1">
      <c r="A490" s="41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1"/>
      <c r="N490" s="41"/>
      <c r="O490" s="41"/>
      <c r="P490" s="41"/>
    </row>
    <row r="491" ht="14.25" customHeight="1">
      <c r="A491" s="41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1"/>
      <c r="N491" s="41"/>
      <c r="O491" s="41"/>
      <c r="P491" s="41"/>
    </row>
    <row r="492" ht="14.25" customHeight="1">
      <c r="A492" s="41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1"/>
      <c r="N492" s="41"/>
      <c r="O492" s="41"/>
      <c r="P492" s="41"/>
    </row>
    <row r="493" ht="14.25" customHeight="1">
      <c r="A493" s="41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1"/>
      <c r="N493" s="41"/>
      <c r="O493" s="41"/>
      <c r="P493" s="41"/>
    </row>
    <row r="494" ht="14.25" customHeight="1">
      <c r="A494" s="41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1"/>
      <c r="N494" s="41"/>
      <c r="O494" s="41"/>
      <c r="P494" s="41"/>
    </row>
    <row r="495" ht="14.25" customHeight="1">
      <c r="A495" s="41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1"/>
      <c r="N495" s="41"/>
      <c r="O495" s="41"/>
      <c r="P495" s="41"/>
    </row>
    <row r="496" ht="14.25" customHeight="1">
      <c r="A496" s="41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1"/>
      <c r="N496" s="41"/>
      <c r="O496" s="41"/>
      <c r="P496" s="41"/>
    </row>
    <row r="497" ht="14.25" customHeight="1">
      <c r="A497" s="41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1"/>
      <c r="N497" s="41"/>
      <c r="O497" s="41"/>
      <c r="P497" s="41"/>
    </row>
    <row r="498" ht="14.25" customHeight="1">
      <c r="A498" s="41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1"/>
      <c r="N498" s="41"/>
      <c r="O498" s="41"/>
      <c r="P498" s="41"/>
    </row>
    <row r="499" ht="14.25" customHeight="1">
      <c r="A499" s="41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1"/>
      <c r="N499" s="41"/>
      <c r="O499" s="41"/>
      <c r="P499" s="41"/>
    </row>
    <row r="500" ht="14.25" customHeight="1">
      <c r="A500" s="41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1"/>
      <c r="N500" s="41"/>
      <c r="O500" s="41"/>
      <c r="P500" s="41"/>
    </row>
    <row r="501" ht="14.25" customHeight="1">
      <c r="A501" s="41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1"/>
      <c r="N501" s="41"/>
      <c r="O501" s="41"/>
      <c r="P501" s="41"/>
    </row>
    <row r="502" ht="14.25" customHeight="1">
      <c r="A502" s="41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1"/>
      <c r="N502" s="41"/>
      <c r="O502" s="41"/>
      <c r="P502" s="41"/>
    </row>
    <row r="503" ht="14.25" customHeight="1">
      <c r="A503" s="41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1"/>
      <c r="N503" s="41"/>
      <c r="O503" s="41"/>
      <c r="P503" s="41"/>
    </row>
    <row r="504" ht="14.25" customHeight="1">
      <c r="A504" s="41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1"/>
      <c r="N504" s="41"/>
      <c r="O504" s="41"/>
      <c r="P504" s="41"/>
    </row>
    <row r="505" ht="14.25" customHeight="1">
      <c r="A505" s="41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1"/>
      <c r="N505" s="41"/>
      <c r="O505" s="41"/>
      <c r="P505" s="41"/>
    </row>
    <row r="506" ht="14.25" customHeight="1">
      <c r="A506" s="41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1"/>
      <c r="N506" s="41"/>
      <c r="O506" s="41"/>
      <c r="P506" s="41"/>
    </row>
    <row r="507" ht="14.25" customHeight="1">
      <c r="A507" s="41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1"/>
      <c r="N507" s="41"/>
      <c r="O507" s="41"/>
      <c r="P507" s="41"/>
    </row>
    <row r="508" ht="14.25" customHeight="1">
      <c r="A508" s="41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1"/>
      <c r="N508" s="41"/>
      <c r="O508" s="41"/>
      <c r="P508" s="41"/>
    </row>
    <row r="509" ht="14.25" customHeight="1">
      <c r="A509" s="41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1"/>
      <c r="N509" s="41"/>
      <c r="O509" s="41"/>
      <c r="P509" s="41"/>
    </row>
    <row r="510" ht="14.25" customHeight="1">
      <c r="A510" s="41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1"/>
      <c r="N510" s="41"/>
      <c r="O510" s="41"/>
      <c r="P510" s="41"/>
    </row>
    <row r="511" ht="14.25" customHeight="1">
      <c r="A511" s="41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1"/>
      <c r="N511" s="41"/>
      <c r="O511" s="41"/>
      <c r="P511" s="41"/>
    </row>
    <row r="512" ht="14.25" customHeight="1">
      <c r="A512" s="41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1"/>
      <c r="N512" s="41"/>
      <c r="O512" s="41"/>
      <c r="P512" s="41"/>
    </row>
    <row r="513" ht="14.25" customHeight="1">
      <c r="A513" s="41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1"/>
      <c r="N513" s="41"/>
      <c r="O513" s="41"/>
      <c r="P513" s="41"/>
    </row>
    <row r="514" ht="14.25" customHeight="1">
      <c r="A514" s="41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1"/>
      <c r="N514" s="41"/>
      <c r="O514" s="41"/>
      <c r="P514" s="41"/>
    </row>
    <row r="515" ht="14.25" customHeight="1">
      <c r="A515" s="41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1"/>
      <c r="N515" s="41"/>
      <c r="O515" s="41"/>
      <c r="P515" s="41"/>
    </row>
    <row r="516" ht="14.25" customHeight="1">
      <c r="A516" s="41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1"/>
      <c r="N516" s="41"/>
      <c r="O516" s="41"/>
      <c r="P516" s="41"/>
    </row>
    <row r="517" ht="14.25" customHeight="1">
      <c r="A517" s="41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1"/>
      <c r="N517" s="41"/>
      <c r="O517" s="41"/>
      <c r="P517" s="41"/>
    </row>
    <row r="518" ht="14.25" customHeight="1">
      <c r="A518" s="41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1"/>
      <c r="N518" s="41"/>
      <c r="O518" s="41"/>
      <c r="P518" s="41"/>
    </row>
    <row r="519" ht="14.25" customHeight="1">
      <c r="A519" s="41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1"/>
      <c r="N519" s="41"/>
      <c r="O519" s="41"/>
      <c r="P519" s="41"/>
    </row>
    <row r="520" ht="14.25" customHeight="1">
      <c r="A520" s="41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1"/>
      <c r="N520" s="41"/>
      <c r="O520" s="41"/>
      <c r="P520" s="41"/>
    </row>
    <row r="521" ht="14.25" customHeight="1">
      <c r="A521" s="41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1"/>
      <c r="N521" s="41"/>
      <c r="O521" s="41"/>
      <c r="P521" s="41"/>
    </row>
    <row r="522" ht="14.25" customHeight="1">
      <c r="A522" s="41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1"/>
      <c r="N522" s="41"/>
      <c r="O522" s="41"/>
      <c r="P522" s="41"/>
    </row>
    <row r="523" ht="14.25" customHeight="1">
      <c r="A523" s="41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1"/>
      <c r="N523" s="41"/>
      <c r="O523" s="41"/>
      <c r="P523" s="41"/>
    </row>
    <row r="524" ht="14.25" customHeight="1">
      <c r="A524" s="41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1"/>
      <c r="N524" s="41"/>
      <c r="O524" s="41"/>
      <c r="P524" s="41"/>
    </row>
    <row r="525" ht="14.25" customHeight="1">
      <c r="A525" s="41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1"/>
      <c r="N525" s="41"/>
      <c r="O525" s="41"/>
      <c r="P525" s="41"/>
    </row>
    <row r="526" ht="14.25" customHeight="1">
      <c r="A526" s="41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1"/>
      <c r="N526" s="41"/>
      <c r="O526" s="41"/>
      <c r="P526" s="41"/>
    </row>
    <row r="527" ht="14.25" customHeight="1">
      <c r="A527" s="41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1"/>
      <c r="N527" s="41"/>
      <c r="O527" s="41"/>
      <c r="P527" s="41"/>
    </row>
    <row r="528" ht="14.25" customHeight="1">
      <c r="A528" s="41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1"/>
      <c r="N528" s="41"/>
      <c r="O528" s="41"/>
      <c r="P528" s="41"/>
    </row>
    <row r="529" ht="14.25" customHeight="1">
      <c r="A529" s="41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1"/>
      <c r="N529" s="41"/>
      <c r="O529" s="41"/>
      <c r="P529" s="41"/>
    </row>
    <row r="530" ht="14.25" customHeight="1">
      <c r="A530" s="41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1"/>
      <c r="N530" s="41"/>
      <c r="O530" s="41"/>
      <c r="P530" s="41"/>
    </row>
    <row r="531" ht="14.25" customHeight="1">
      <c r="A531" s="41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1"/>
      <c r="N531" s="41"/>
      <c r="O531" s="41"/>
      <c r="P531" s="41"/>
    </row>
    <row r="532" ht="14.25" customHeight="1">
      <c r="A532" s="41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1"/>
      <c r="N532" s="41"/>
      <c r="O532" s="41"/>
      <c r="P532" s="41"/>
    </row>
    <row r="533" ht="14.25" customHeight="1">
      <c r="A533" s="41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1"/>
      <c r="N533" s="41"/>
      <c r="O533" s="41"/>
      <c r="P533" s="41"/>
    </row>
    <row r="534" ht="14.25" customHeight="1">
      <c r="A534" s="41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1"/>
      <c r="N534" s="41"/>
      <c r="O534" s="41"/>
      <c r="P534" s="41"/>
    </row>
    <row r="535" ht="14.25" customHeight="1">
      <c r="A535" s="41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1"/>
      <c r="N535" s="41"/>
      <c r="O535" s="41"/>
      <c r="P535" s="41"/>
    </row>
    <row r="536" ht="14.25" customHeight="1">
      <c r="A536" s="41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1"/>
      <c r="N536" s="41"/>
      <c r="O536" s="41"/>
      <c r="P536" s="41"/>
    </row>
    <row r="537" ht="14.25" customHeight="1">
      <c r="A537" s="41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1"/>
      <c r="N537" s="41"/>
      <c r="O537" s="41"/>
      <c r="P537" s="41"/>
    </row>
    <row r="538" ht="14.25" customHeight="1">
      <c r="A538" s="41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1"/>
      <c r="N538" s="41"/>
      <c r="O538" s="41"/>
      <c r="P538" s="41"/>
    </row>
    <row r="539" ht="14.25" customHeight="1">
      <c r="A539" s="41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1"/>
      <c r="N539" s="41"/>
      <c r="O539" s="41"/>
      <c r="P539" s="41"/>
    </row>
    <row r="540" ht="14.25" customHeight="1">
      <c r="A540" s="41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1"/>
      <c r="N540" s="41"/>
      <c r="O540" s="41"/>
      <c r="P540" s="41"/>
    </row>
    <row r="541" ht="14.25" customHeight="1">
      <c r="A541" s="41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1"/>
      <c r="N541" s="41"/>
      <c r="O541" s="41"/>
      <c r="P541" s="41"/>
    </row>
    <row r="542" ht="14.25" customHeight="1">
      <c r="A542" s="41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1"/>
      <c r="N542" s="41"/>
      <c r="O542" s="41"/>
      <c r="P542" s="41"/>
    </row>
    <row r="543" ht="14.25" customHeight="1">
      <c r="A543" s="41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1"/>
      <c r="N543" s="41"/>
      <c r="O543" s="41"/>
      <c r="P543" s="41"/>
    </row>
    <row r="544" ht="14.25" customHeight="1">
      <c r="A544" s="41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1"/>
      <c r="N544" s="41"/>
      <c r="O544" s="41"/>
      <c r="P544" s="41"/>
    </row>
    <row r="545" ht="14.25" customHeight="1">
      <c r="A545" s="41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1"/>
      <c r="N545" s="41"/>
      <c r="O545" s="41"/>
      <c r="P545" s="41"/>
    </row>
    <row r="546" ht="14.25" customHeight="1">
      <c r="A546" s="41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1"/>
      <c r="N546" s="41"/>
      <c r="O546" s="41"/>
      <c r="P546" s="41"/>
    </row>
    <row r="547" ht="14.25" customHeight="1">
      <c r="A547" s="41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1"/>
      <c r="N547" s="41"/>
      <c r="O547" s="41"/>
      <c r="P547" s="41"/>
    </row>
    <row r="548" ht="14.25" customHeight="1">
      <c r="A548" s="41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1"/>
      <c r="N548" s="41"/>
      <c r="O548" s="41"/>
      <c r="P548" s="41"/>
    </row>
    <row r="549" ht="14.25" customHeight="1">
      <c r="A549" s="41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1"/>
      <c r="N549" s="41"/>
      <c r="O549" s="41"/>
      <c r="P549" s="41"/>
    </row>
    <row r="550" ht="14.25" customHeight="1">
      <c r="A550" s="41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1"/>
      <c r="N550" s="41"/>
      <c r="O550" s="41"/>
      <c r="P550" s="41"/>
    </row>
    <row r="551" ht="14.25" customHeight="1">
      <c r="A551" s="41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1"/>
      <c r="N551" s="41"/>
      <c r="O551" s="41"/>
      <c r="P551" s="41"/>
    </row>
    <row r="552" ht="14.25" customHeight="1">
      <c r="A552" s="41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1"/>
      <c r="N552" s="41"/>
      <c r="O552" s="41"/>
      <c r="P552" s="41"/>
    </row>
    <row r="553" ht="14.25" customHeight="1">
      <c r="A553" s="41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1"/>
      <c r="N553" s="41"/>
      <c r="O553" s="41"/>
      <c r="P553" s="41"/>
    </row>
    <row r="554" ht="14.25" customHeight="1">
      <c r="A554" s="41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1"/>
      <c r="N554" s="41"/>
      <c r="O554" s="41"/>
      <c r="P554" s="41"/>
    </row>
    <row r="555" ht="14.25" customHeight="1">
      <c r="A555" s="41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1"/>
      <c r="N555" s="41"/>
      <c r="O555" s="41"/>
      <c r="P555" s="41"/>
    </row>
    <row r="556" ht="14.25" customHeight="1">
      <c r="A556" s="41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1"/>
      <c r="N556" s="41"/>
      <c r="O556" s="41"/>
      <c r="P556" s="41"/>
    </row>
    <row r="557" ht="14.25" customHeight="1">
      <c r="A557" s="41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1"/>
      <c r="N557" s="41"/>
      <c r="O557" s="41"/>
      <c r="P557" s="41"/>
    </row>
    <row r="558" ht="14.25" customHeight="1">
      <c r="A558" s="41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1"/>
      <c r="N558" s="41"/>
      <c r="O558" s="41"/>
      <c r="P558" s="41"/>
    </row>
    <row r="559" ht="14.25" customHeight="1">
      <c r="A559" s="41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1"/>
      <c r="N559" s="41"/>
      <c r="O559" s="41"/>
      <c r="P559" s="41"/>
    </row>
    <row r="560" ht="14.25" customHeight="1">
      <c r="A560" s="41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1"/>
      <c r="N560" s="41"/>
      <c r="O560" s="41"/>
      <c r="P560" s="41"/>
    </row>
    <row r="561" ht="14.25" customHeight="1">
      <c r="A561" s="41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1"/>
      <c r="N561" s="41"/>
      <c r="O561" s="41"/>
      <c r="P561" s="41"/>
    </row>
    <row r="562" ht="14.25" customHeight="1">
      <c r="A562" s="41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1"/>
      <c r="N562" s="41"/>
      <c r="O562" s="41"/>
      <c r="P562" s="41"/>
    </row>
    <row r="563" ht="14.25" customHeight="1">
      <c r="A563" s="41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1"/>
      <c r="N563" s="41"/>
      <c r="O563" s="41"/>
      <c r="P563" s="41"/>
    </row>
    <row r="564" ht="14.25" customHeight="1">
      <c r="A564" s="41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1"/>
      <c r="N564" s="41"/>
      <c r="O564" s="41"/>
      <c r="P564" s="41"/>
    </row>
    <row r="565" ht="14.25" customHeight="1">
      <c r="A565" s="41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1"/>
      <c r="N565" s="41"/>
      <c r="O565" s="41"/>
      <c r="P565" s="41"/>
    </row>
    <row r="566" ht="14.25" customHeight="1">
      <c r="A566" s="41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1"/>
      <c r="N566" s="41"/>
      <c r="O566" s="41"/>
      <c r="P566" s="41"/>
    </row>
    <row r="567" ht="14.25" customHeight="1">
      <c r="A567" s="41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1"/>
      <c r="N567" s="41"/>
      <c r="O567" s="41"/>
      <c r="P567" s="41"/>
    </row>
    <row r="568" ht="14.25" customHeight="1">
      <c r="A568" s="41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1"/>
      <c r="N568" s="41"/>
      <c r="O568" s="41"/>
      <c r="P568" s="41"/>
    </row>
    <row r="569" ht="14.25" customHeight="1">
      <c r="A569" s="41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1"/>
      <c r="N569" s="41"/>
      <c r="O569" s="41"/>
      <c r="P569" s="41"/>
    </row>
    <row r="570" ht="14.25" customHeight="1">
      <c r="A570" s="41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1"/>
      <c r="N570" s="41"/>
      <c r="O570" s="41"/>
      <c r="P570" s="41"/>
    </row>
    <row r="571" ht="14.25" customHeight="1">
      <c r="A571" s="41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1"/>
      <c r="N571" s="41"/>
      <c r="O571" s="41"/>
      <c r="P571" s="41"/>
    </row>
    <row r="572" ht="14.25" customHeight="1">
      <c r="A572" s="41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1"/>
      <c r="N572" s="41"/>
      <c r="O572" s="41"/>
      <c r="P572" s="41"/>
    </row>
    <row r="573" ht="14.25" customHeight="1">
      <c r="A573" s="41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1"/>
      <c r="N573" s="41"/>
      <c r="O573" s="41"/>
      <c r="P573" s="41"/>
    </row>
    <row r="574" ht="14.25" customHeight="1">
      <c r="A574" s="41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1"/>
      <c r="N574" s="41"/>
      <c r="O574" s="41"/>
      <c r="P574" s="41"/>
    </row>
    <row r="575" ht="14.25" customHeight="1">
      <c r="A575" s="41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1"/>
      <c r="N575" s="41"/>
      <c r="O575" s="41"/>
      <c r="P575" s="41"/>
    </row>
    <row r="576" ht="14.25" customHeight="1">
      <c r="A576" s="41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1"/>
      <c r="N576" s="41"/>
      <c r="O576" s="41"/>
      <c r="P576" s="41"/>
    </row>
    <row r="577" ht="14.25" customHeight="1">
      <c r="A577" s="41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1"/>
      <c r="N577" s="41"/>
      <c r="O577" s="41"/>
      <c r="P577" s="41"/>
    </row>
    <row r="578" ht="14.25" customHeight="1">
      <c r="A578" s="41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1"/>
      <c r="N578" s="41"/>
      <c r="O578" s="41"/>
      <c r="P578" s="41"/>
    </row>
    <row r="579" ht="14.25" customHeight="1">
      <c r="A579" s="41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1"/>
      <c r="N579" s="41"/>
      <c r="O579" s="41"/>
      <c r="P579" s="41"/>
    </row>
    <row r="580" ht="14.25" customHeight="1">
      <c r="A580" s="41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1"/>
      <c r="N580" s="41"/>
      <c r="O580" s="41"/>
      <c r="P580" s="41"/>
    </row>
    <row r="581" ht="14.25" customHeight="1">
      <c r="A581" s="41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1"/>
      <c r="N581" s="41"/>
      <c r="O581" s="41"/>
      <c r="P581" s="41"/>
    </row>
    <row r="582" ht="14.25" customHeight="1">
      <c r="A582" s="41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1"/>
      <c r="N582" s="41"/>
      <c r="O582" s="41"/>
      <c r="P582" s="41"/>
    </row>
    <row r="583" ht="14.25" customHeight="1">
      <c r="A583" s="41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1"/>
      <c r="N583" s="41"/>
      <c r="O583" s="41"/>
      <c r="P583" s="41"/>
    </row>
    <row r="584" ht="14.25" customHeight="1">
      <c r="A584" s="41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1"/>
      <c r="N584" s="41"/>
      <c r="O584" s="41"/>
      <c r="P584" s="41"/>
    </row>
    <row r="585" ht="14.25" customHeight="1">
      <c r="A585" s="41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1"/>
      <c r="N585" s="41"/>
      <c r="O585" s="41"/>
      <c r="P585" s="41"/>
    </row>
    <row r="586" ht="14.25" customHeight="1">
      <c r="A586" s="41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1"/>
      <c r="N586" s="41"/>
      <c r="O586" s="41"/>
      <c r="P586" s="41"/>
    </row>
    <row r="587" ht="14.25" customHeight="1">
      <c r="A587" s="41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1"/>
      <c r="N587" s="41"/>
      <c r="O587" s="41"/>
      <c r="P587" s="41"/>
    </row>
    <row r="588" ht="14.25" customHeight="1">
      <c r="A588" s="41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1"/>
      <c r="N588" s="41"/>
      <c r="O588" s="41"/>
      <c r="P588" s="41"/>
    </row>
    <row r="589" ht="14.25" customHeight="1">
      <c r="A589" s="41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1"/>
      <c r="N589" s="41"/>
      <c r="O589" s="41"/>
      <c r="P589" s="41"/>
    </row>
    <row r="590" ht="14.25" customHeight="1">
      <c r="A590" s="41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1"/>
      <c r="N590" s="41"/>
      <c r="O590" s="41"/>
      <c r="P590" s="41"/>
    </row>
    <row r="591" ht="14.25" customHeight="1">
      <c r="A591" s="41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1"/>
      <c r="N591" s="41"/>
      <c r="O591" s="41"/>
      <c r="P591" s="41"/>
    </row>
    <row r="592" ht="14.25" customHeight="1">
      <c r="A592" s="41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1"/>
      <c r="N592" s="41"/>
      <c r="O592" s="41"/>
      <c r="P592" s="41"/>
    </row>
    <row r="593" ht="14.25" customHeight="1">
      <c r="A593" s="41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1"/>
      <c r="N593" s="41"/>
      <c r="O593" s="41"/>
      <c r="P593" s="41"/>
    </row>
    <row r="594" ht="14.25" customHeight="1">
      <c r="A594" s="41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1"/>
      <c r="N594" s="41"/>
      <c r="O594" s="41"/>
      <c r="P594" s="41"/>
    </row>
    <row r="595" ht="14.25" customHeight="1">
      <c r="A595" s="41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1"/>
      <c r="N595" s="41"/>
      <c r="O595" s="41"/>
      <c r="P595" s="41"/>
    </row>
    <row r="596" ht="14.25" customHeight="1">
      <c r="A596" s="41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1"/>
      <c r="N596" s="41"/>
      <c r="O596" s="41"/>
      <c r="P596" s="41"/>
    </row>
    <row r="597" ht="14.25" customHeight="1">
      <c r="A597" s="41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1"/>
      <c r="N597" s="41"/>
      <c r="O597" s="41"/>
      <c r="P597" s="41"/>
    </row>
    <row r="598" ht="14.25" customHeight="1">
      <c r="A598" s="41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1"/>
      <c r="N598" s="41"/>
      <c r="O598" s="41"/>
      <c r="P598" s="41"/>
    </row>
    <row r="599" ht="14.25" customHeight="1">
      <c r="A599" s="41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1"/>
      <c r="N599" s="41"/>
      <c r="O599" s="41"/>
      <c r="P599" s="41"/>
    </row>
    <row r="600" ht="14.25" customHeight="1">
      <c r="A600" s="41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1"/>
      <c r="N600" s="41"/>
      <c r="O600" s="41"/>
      <c r="P600" s="41"/>
    </row>
    <row r="601" ht="14.25" customHeight="1">
      <c r="A601" s="41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1"/>
      <c r="N601" s="41"/>
      <c r="O601" s="41"/>
      <c r="P601" s="41"/>
    </row>
    <row r="602" ht="14.25" customHeight="1">
      <c r="A602" s="41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1"/>
      <c r="N602" s="41"/>
      <c r="O602" s="41"/>
      <c r="P602" s="41"/>
    </row>
    <row r="603" ht="14.25" customHeight="1">
      <c r="A603" s="41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1"/>
      <c r="N603" s="41"/>
      <c r="O603" s="41"/>
      <c r="P603" s="41"/>
    </row>
    <row r="604" ht="14.25" customHeight="1">
      <c r="A604" s="41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1"/>
      <c r="N604" s="41"/>
      <c r="O604" s="41"/>
      <c r="P604" s="41"/>
    </row>
    <row r="605" ht="14.25" customHeight="1">
      <c r="A605" s="41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1"/>
      <c r="N605" s="41"/>
      <c r="O605" s="41"/>
      <c r="P605" s="41"/>
    </row>
    <row r="606" ht="14.25" customHeight="1">
      <c r="A606" s="41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1"/>
      <c r="N606" s="41"/>
      <c r="O606" s="41"/>
      <c r="P606" s="41"/>
    </row>
    <row r="607" ht="14.25" customHeight="1">
      <c r="A607" s="41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1"/>
      <c r="N607" s="41"/>
      <c r="O607" s="41"/>
      <c r="P607" s="41"/>
    </row>
    <row r="608" ht="14.25" customHeight="1">
      <c r="A608" s="41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1"/>
      <c r="N608" s="41"/>
      <c r="O608" s="41"/>
      <c r="P608" s="41"/>
    </row>
    <row r="609" ht="14.25" customHeight="1">
      <c r="A609" s="41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1"/>
      <c r="N609" s="41"/>
      <c r="O609" s="41"/>
      <c r="P609" s="41"/>
    </row>
    <row r="610" ht="14.25" customHeight="1">
      <c r="A610" s="41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1"/>
      <c r="N610" s="41"/>
      <c r="O610" s="41"/>
      <c r="P610" s="41"/>
    </row>
    <row r="611" ht="14.25" customHeight="1">
      <c r="A611" s="41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1"/>
      <c r="N611" s="41"/>
      <c r="O611" s="41"/>
      <c r="P611" s="41"/>
    </row>
    <row r="612" ht="14.25" customHeight="1">
      <c r="A612" s="41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1"/>
      <c r="N612" s="41"/>
      <c r="O612" s="41"/>
      <c r="P612" s="41"/>
    </row>
    <row r="613" ht="14.25" customHeight="1">
      <c r="A613" s="41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1"/>
      <c r="N613" s="41"/>
      <c r="O613" s="41"/>
      <c r="P613" s="41"/>
    </row>
    <row r="614" ht="14.25" customHeight="1">
      <c r="A614" s="41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1"/>
      <c r="N614" s="41"/>
      <c r="O614" s="41"/>
      <c r="P614" s="41"/>
    </row>
    <row r="615" ht="14.25" customHeight="1">
      <c r="A615" s="41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1"/>
      <c r="N615" s="41"/>
      <c r="O615" s="41"/>
      <c r="P615" s="41"/>
    </row>
    <row r="616" ht="14.25" customHeight="1">
      <c r="A616" s="41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1"/>
      <c r="N616" s="41"/>
      <c r="O616" s="41"/>
      <c r="P616" s="41"/>
    </row>
    <row r="617" ht="14.25" customHeight="1">
      <c r="A617" s="41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1"/>
      <c r="N617" s="41"/>
      <c r="O617" s="41"/>
      <c r="P617" s="41"/>
    </row>
    <row r="618" ht="14.25" customHeight="1">
      <c r="A618" s="41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1"/>
      <c r="N618" s="41"/>
      <c r="O618" s="41"/>
      <c r="P618" s="41"/>
    </row>
    <row r="619" ht="14.25" customHeight="1">
      <c r="A619" s="41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1"/>
      <c r="N619" s="41"/>
      <c r="O619" s="41"/>
      <c r="P619" s="41"/>
    </row>
    <row r="620" ht="14.25" customHeight="1">
      <c r="A620" s="41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1"/>
      <c r="N620" s="41"/>
      <c r="O620" s="41"/>
      <c r="P620" s="41"/>
    </row>
    <row r="621" ht="14.25" customHeight="1">
      <c r="A621" s="41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1"/>
      <c r="N621" s="41"/>
      <c r="O621" s="41"/>
      <c r="P621" s="41"/>
    </row>
    <row r="622" ht="14.25" customHeight="1">
      <c r="A622" s="41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1"/>
      <c r="N622" s="41"/>
      <c r="O622" s="41"/>
      <c r="P622" s="41"/>
    </row>
    <row r="623" ht="14.25" customHeight="1">
      <c r="A623" s="41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1"/>
      <c r="N623" s="41"/>
      <c r="O623" s="41"/>
      <c r="P623" s="41"/>
    </row>
    <row r="624" ht="14.25" customHeight="1">
      <c r="A624" s="41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1"/>
      <c r="N624" s="41"/>
      <c r="O624" s="41"/>
      <c r="P624" s="41"/>
    </row>
    <row r="625" ht="14.25" customHeight="1">
      <c r="A625" s="41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1"/>
      <c r="N625" s="41"/>
      <c r="O625" s="41"/>
      <c r="P625" s="41"/>
    </row>
    <row r="626" ht="14.25" customHeight="1">
      <c r="A626" s="41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1"/>
      <c r="N626" s="41"/>
      <c r="O626" s="41"/>
      <c r="P626" s="41"/>
    </row>
    <row r="627" ht="14.25" customHeight="1">
      <c r="A627" s="41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1"/>
      <c r="N627" s="41"/>
      <c r="O627" s="41"/>
      <c r="P627" s="41"/>
    </row>
    <row r="628" ht="14.25" customHeight="1">
      <c r="A628" s="41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1"/>
      <c r="N628" s="41"/>
      <c r="O628" s="41"/>
      <c r="P628" s="41"/>
    </row>
    <row r="629" ht="14.25" customHeight="1">
      <c r="A629" s="41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1"/>
      <c r="N629" s="41"/>
      <c r="O629" s="41"/>
      <c r="P629" s="41"/>
    </row>
    <row r="630" ht="14.25" customHeight="1">
      <c r="A630" s="41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1"/>
      <c r="N630" s="41"/>
      <c r="O630" s="41"/>
      <c r="P630" s="41"/>
    </row>
    <row r="631" ht="14.25" customHeight="1">
      <c r="A631" s="41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1"/>
      <c r="N631" s="41"/>
      <c r="O631" s="41"/>
      <c r="P631" s="41"/>
    </row>
    <row r="632" ht="14.25" customHeight="1">
      <c r="A632" s="41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1"/>
      <c r="N632" s="41"/>
      <c r="O632" s="41"/>
      <c r="P632" s="41"/>
    </row>
    <row r="633" ht="14.25" customHeight="1">
      <c r="A633" s="41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1"/>
      <c r="N633" s="41"/>
      <c r="O633" s="41"/>
      <c r="P633" s="41"/>
    </row>
    <row r="634" ht="14.25" customHeight="1">
      <c r="A634" s="41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1"/>
      <c r="N634" s="41"/>
      <c r="O634" s="41"/>
      <c r="P634" s="41"/>
    </row>
    <row r="635" ht="14.25" customHeight="1">
      <c r="A635" s="41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1"/>
      <c r="N635" s="41"/>
      <c r="O635" s="41"/>
      <c r="P635" s="41"/>
    </row>
    <row r="636" ht="14.25" customHeight="1">
      <c r="A636" s="41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1"/>
      <c r="N636" s="41"/>
      <c r="O636" s="41"/>
      <c r="P636" s="41"/>
    </row>
    <row r="637" ht="14.25" customHeight="1">
      <c r="A637" s="41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1"/>
      <c r="N637" s="41"/>
      <c r="O637" s="41"/>
      <c r="P637" s="41"/>
    </row>
    <row r="638" ht="14.25" customHeight="1">
      <c r="A638" s="41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1"/>
      <c r="N638" s="41"/>
      <c r="O638" s="41"/>
      <c r="P638" s="41"/>
    </row>
    <row r="639" ht="14.25" customHeight="1">
      <c r="A639" s="41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1"/>
      <c r="N639" s="41"/>
      <c r="O639" s="41"/>
      <c r="P639" s="41"/>
    </row>
    <row r="640" ht="14.25" customHeight="1">
      <c r="A640" s="41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1"/>
      <c r="N640" s="41"/>
      <c r="O640" s="41"/>
      <c r="P640" s="41"/>
    </row>
    <row r="641" ht="14.25" customHeight="1">
      <c r="A641" s="41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1"/>
      <c r="N641" s="41"/>
      <c r="O641" s="41"/>
      <c r="P641" s="41"/>
    </row>
    <row r="642" ht="14.25" customHeight="1">
      <c r="A642" s="41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1"/>
      <c r="N642" s="41"/>
      <c r="O642" s="41"/>
      <c r="P642" s="41"/>
    </row>
    <row r="643" ht="14.25" customHeight="1">
      <c r="A643" s="41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1"/>
      <c r="N643" s="41"/>
      <c r="O643" s="41"/>
      <c r="P643" s="41"/>
    </row>
    <row r="644" ht="14.25" customHeight="1">
      <c r="A644" s="41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1"/>
      <c r="N644" s="41"/>
      <c r="O644" s="41"/>
      <c r="P644" s="41"/>
    </row>
    <row r="645" ht="14.25" customHeight="1">
      <c r="A645" s="41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1"/>
      <c r="N645" s="41"/>
      <c r="O645" s="41"/>
      <c r="P645" s="41"/>
    </row>
    <row r="646" ht="14.25" customHeight="1">
      <c r="A646" s="41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1"/>
      <c r="N646" s="41"/>
      <c r="O646" s="41"/>
      <c r="P646" s="41"/>
    </row>
    <row r="647" ht="14.25" customHeight="1">
      <c r="A647" s="41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1"/>
      <c r="N647" s="41"/>
      <c r="O647" s="41"/>
      <c r="P647" s="41"/>
    </row>
    <row r="648" ht="14.25" customHeight="1">
      <c r="A648" s="41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1"/>
      <c r="N648" s="41"/>
      <c r="O648" s="41"/>
      <c r="P648" s="41"/>
    </row>
    <row r="649" ht="14.25" customHeight="1">
      <c r="A649" s="41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1"/>
      <c r="N649" s="41"/>
      <c r="O649" s="41"/>
      <c r="P649" s="41"/>
    </row>
    <row r="650" ht="14.25" customHeight="1">
      <c r="A650" s="41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1"/>
      <c r="N650" s="41"/>
      <c r="O650" s="41"/>
      <c r="P650" s="41"/>
    </row>
    <row r="651" ht="14.25" customHeight="1">
      <c r="A651" s="41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1"/>
      <c r="N651" s="41"/>
      <c r="O651" s="41"/>
      <c r="P651" s="41"/>
    </row>
    <row r="652" ht="14.25" customHeight="1">
      <c r="A652" s="41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1"/>
      <c r="N652" s="41"/>
      <c r="O652" s="41"/>
      <c r="P652" s="41"/>
    </row>
    <row r="653" ht="14.25" customHeight="1">
      <c r="A653" s="41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1"/>
      <c r="N653" s="41"/>
      <c r="O653" s="41"/>
      <c r="P653" s="41"/>
    </row>
    <row r="654" ht="14.25" customHeight="1">
      <c r="A654" s="41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1"/>
      <c r="N654" s="41"/>
      <c r="O654" s="41"/>
      <c r="P654" s="41"/>
    </row>
    <row r="655" ht="14.25" customHeight="1">
      <c r="A655" s="41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1"/>
      <c r="N655" s="41"/>
      <c r="O655" s="41"/>
      <c r="P655" s="41"/>
    </row>
    <row r="656" ht="14.25" customHeight="1">
      <c r="A656" s="41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1"/>
      <c r="N656" s="41"/>
      <c r="O656" s="41"/>
      <c r="P656" s="41"/>
    </row>
    <row r="657" ht="14.25" customHeight="1">
      <c r="A657" s="41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1"/>
      <c r="N657" s="41"/>
      <c r="O657" s="41"/>
      <c r="P657" s="41"/>
    </row>
    <row r="658" ht="14.25" customHeight="1">
      <c r="A658" s="41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1"/>
      <c r="N658" s="41"/>
      <c r="O658" s="41"/>
      <c r="P658" s="41"/>
    </row>
    <row r="659" ht="14.25" customHeight="1">
      <c r="A659" s="41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1"/>
      <c r="N659" s="41"/>
      <c r="O659" s="41"/>
      <c r="P659" s="41"/>
    </row>
    <row r="660" ht="14.25" customHeight="1">
      <c r="A660" s="41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1"/>
      <c r="N660" s="41"/>
      <c r="O660" s="41"/>
      <c r="P660" s="41"/>
    </row>
    <row r="661" ht="14.25" customHeight="1">
      <c r="A661" s="41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1"/>
      <c r="N661" s="41"/>
      <c r="O661" s="41"/>
      <c r="P661" s="41"/>
    </row>
    <row r="662" ht="14.25" customHeight="1">
      <c r="A662" s="41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1"/>
      <c r="N662" s="41"/>
      <c r="O662" s="41"/>
      <c r="P662" s="41"/>
    </row>
    <row r="663" ht="14.25" customHeight="1">
      <c r="A663" s="41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1"/>
      <c r="N663" s="41"/>
      <c r="O663" s="41"/>
      <c r="P663" s="41"/>
    </row>
    <row r="664" ht="14.25" customHeight="1">
      <c r="A664" s="41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1"/>
      <c r="N664" s="41"/>
      <c r="O664" s="41"/>
      <c r="P664" s="41"/>
    </row>
    <row r="665" ht="14.25" customHeight="1">
      <c r="A665" s="41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1"/>
      <c r="N665" s="41"/>
      <c r="O665" s="41"/>
      <c r="P665" s="41"/>
    </row>
    <row r="666" ht="14.25" customHeight="1">
      <c r="A666" s="41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1"/>
      <c r="N666" s="41"/>
      <c r="O666" s="41"/>
      <c r="P666" s="41"/>
    </row>
    <row r="667" ht="14.25" customHeight="1">
      <c r="A667" s="41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1"/>
      <c r="N667" s="41"/>
      <c r="O667" s="41"/>
      <c r="P667" s="41"/>
    </row>
    <row r="668" ht="14.25" customHeight="1">
      <c r="A668" s="41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1"/>
      <c r="N668" s="41"/>
      <c r="O668" s="41"/>
      <c r="P668" s="41"/>
    </row>
    <row r="669" ht="14.25" customHeight="1">
      <c r="A669" s="41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1"/>
      <c r="N669" s="41"/>
      <c r="O669" s="41"/>
      <c r="P669" s="41"/>
    </row>
    <row r="670" ht="14.25" customHeight="1">
      <c r="A670" s="41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1"/>
      <c r="N670" s="41"/>
      <c r="O670" s="41"/>
      <c r="P670" s="41"/>
    </row>
    <row r="671" ht="14.25" customHeight="1">
      <c r="A671" s="41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1"/>
      <c r="N671" s="41"/>
      <c r="O671" s="41"/>
      <c r="P671" s="41"/>
    </row>
    <row r="672" ht="14.25" customHeight="1">
      <c r="A672" s="41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1"/>
      <c r="N672" s="41"/>
      <c r="O672" s="41"/>
      <c r="P672" s="41"/>
    </row>
    <row r="673" ht="14.25" customHeight="1">
      <c r="A673" s="41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1"/>
      <c r="N673" s="41"/>
      <c r="O673" s="41"/>
      <c r="P673" s="41"/>
    </row>
    <row r="674" ht="14.25" customHeight="1">
      <c r="A674" s="41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1"/>
      <c r="N674" s="41"/>
      <c r="O674" s="41"/>
      <c r="P674" s="41"/>
    </row>
    <row r="675" ht="14.25" customHeight="1">
      <c r="A675" s="41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1"/>
      <c r="N675" s="41"/>
      <c r="O675" s="41"/>
      <c r="P675" s="41"/>
    </row>
    <row r="676" ht="14.25" customHeight="1">
      <c r="A676" s="41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1"/>
      <c r="N676" s="41"/>
      <c r="O676" s="41"/>
      <c r="P676" s="41"/>
    </row>
    <row r="677" ht="14.25" customHeight="1">
      <c r="A677" s="41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1"/>
      <c r="N677" s="41"/>
      <c r="O677" s="41"/>
      <c r="P677" s="41"/>
    </row>
    <row r="678" ht="14.25" customHeight="1">
      <c r="A678" s="41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1"/>
      <c r="N678" s="41"/>
      <c r="O678" s="41"/>
      <c r="P678" s="41"/>
    </row>
    <row r="679" ht="14.25" customHeight="1">
      <c r="A679" s="41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1"/>
      <c r="N679" s="41"/>
      <c r="O679" s="41"/>
      <c r="P679" s="41"/>
    </row>
    <row r="680" ht="14.25" customHeight="1">
      <c r="A680" s="41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1"/>
      <c r="N680" s="41"/>
      <c r="O680" s="41"/>
      <c r="P680" s="41"/>
    </row>
    <row r="681" ht="14.25" customHeight="1">
      <c r="A681" s="41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1"/>
      <c r="N681" s="41"/>
      <c r="O681" s="41"/>
      <c r="P681" s="41"/>
    </row>
    <row r="682" ht="14.25" customHeight="1">
      <c r="A682" s="41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1"/>
      <c r="N682" s="41"/>
      <c r="O682" s="41"/>
      <c r="P682" s="41"/>
    </row>
    <row r="683" ht="14.25" customHeight="1">
      <c r="A683" s="41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1"/>
      <c r="N683" s="41"/>
      <c r="O683" s="41"/>
      <c r="P683" s="41"/>
    </row>
    <row r="684" ht="14.25" customHeight="1">
      <c r="A684" s="41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1"/>
      <c r="N684" s="41"/>
      <c r="O684" s="41"/>
      <c r="P684" s="41"/>
    </row>
    <row r="685" ht="14.25" customHeight="1">
      <c r="A685" s="41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1"/>
      <c r="N685" s="41"/>
      <c r="O685" s="41"/>
      <c r="P685" s="41"/>
    </row>
    <row r="686" ht="14.25" customHeight="1">
      <c r="A686" s="41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1"/>
      <c r="N686" s="41"/>
      <c r="O686" s="41"/>
      <c r="P686" s="41"/>
    </row>
    <row r="687" ht="14.25" customHeight="1">
      <c r="A687" s="41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1"/>
      <c r="N687" s="41"/>
      <c r="O687" s="41"/>
      <c r="P687" s="41"/>
    </row>
    <row r="688" ht="14.25" customHeight="1">
      <c r="A688" s="41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1"/>
      <c r="N688" s="41"/>
      <c r="O688" s="41"/>
      <c r="P688" s="41"/>
    </row>
    <row r="689" ht="14.25" customHeight="1">
      <c r="A689" s="41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1"/>
      <c r="N689" s="41"/>
      <c r="O689" s="41"/>
      <c r="P689" s="41"/>
    </row>
    <row r="690" ht="14.25" customHeight="1">
      <c r="A690" s="41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1"/>
      <c r="N690" s="41"/>
      <c r="O690" s="41"/>
      <c r="P690" s="41"/>
    </row>
    <row r="691" ht="14.25" customHeight="1">
      <c r="A691" s="41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1"/>
      <c r="N691" s="41"/>
      <c r="O691" s="41"/>
      <c r="P691" s="41"/>
    </row>
    <row r="692" ht="14.25" customHeight="1">
      <c r="A692" s="41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1"/>
      <c r="N692" s="41"/>
      <c r="O692" s="41"/>
      <c r="P692" s="41"/>
    </row>
    <row r="693" ht="14.25" customHeight="1">
      <c r="A693" s="41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1"/>
      <c r="N693" s="41"/>
      <c r="O693" s="41"/>
      <c r="P693" s="41"/>
    </row>
    <row r="694" ht="14.25" customHeight="1">
      <c r="A694" s="41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1"/>
      <c r="N694" s="41"/>
      <c r="O694" s="41"/>
      <c r="P694" s="41"/>
    </row>
    <row r="695" ht="14.25" customHeight="1">
      <c r="A695" s="41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1"/>
      <c r="N695" s="41"/>
      <c r="O695" s="41"/>
      <c r="P695" s="41"/>
    </row>
    <row r="696" ht="14.25" customHeight="1">
      <c r="A696" s="41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1"/>
      <c r="N696" s="41"/>
      <c r="O696" s="41"/>
      <c r="P696" s="41"/>
    </row>
    <row r="697" ht="14.25" customHeight="1">
      <c r="A697" s="41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1"/>
      <c r="N697" s="41"/>
      <c r="O697" s="41"/>
      <c r="P697" s="41"/>
    </row>
    <row r="698" ht="14.25" customHeight="1">
      <c r="A698" s="41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1"/>
      <c r="N698" s="41"/>
      <c r="O698" s="41"/>
      <c r="P698" s="41"/>
    </row>
    <row r="699" ht="14.25" customHeight="1">
      <c r="A699" s="41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1"/>
      <c r="N699" s="41"/>
      <c r="O699" s="41"/>
      <c r="P699" s="41"/>
    </row>
    <row r="700" ht="14.25" customHeight="1">
      <c r="A700" s="41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1"/>
      <c r="N700" s="41"/>
      <c r="O700" s="41"/>
      <c r="P700" s="41"/>
    </row>
    <row r="701" ht="14.25" customHeight="1">
      <c r="A701" s="41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1"/>
      <c r="N701" s="41"/>
      <c r="O701" s="41"/>
      <c r="P701" s="41"/>
    </row>
    <row r="702" ht="14.25" customHeight="1">
      <c r="A702" s="41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1"/>
      <c r="N702" s="41"/>
      <c r="O702" s="41"/>
      <c r="P702" s="41"/>
    </row>
    <row r="703" ht="14.25" customHeight="1">
      <c r="A703" s="41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1"/>
      <c r="N703" s="41"/>
      <c r="O703" s="41"/>
      <c r="P703" s="41"/>
    </row>
    <row r="704" ht="14.25" customHeight="1">
      <c r="A704" s="41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1"/>
      <c r="N704" s="41"/>
      <c r="O704" s="41"/>
      <c r="P704" s="41"/>
    </row>
    <row r="705" ht="14.25" customHeight="1">
      <c r="A705" s="41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1"/>
      <c r="N705" s="41"/>
      <c r="O705" s="41"/>
      <c r="P705" s="41"/>
    </row>
    <row r="706" ht="14.25" customHeight="1">
      <c r="A706" s="41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1"/>
      <c r="N706" s="41"/>
      <c r="O706" s="41"/>
      <c r="P706" s="41"/>
    </row>
    <row r="707" ht="14.25" customHeight="1">
      <c r="A707" s="41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1"/>
      <c r="N707" s="41"/>
      <c r="O707" s="41"/>
      <c r="P707" s="41"/>
    </row>
    <row r="708" ht="14.25" customHeight="1">
      <c r="A708" s="41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1"/>
      <c r="N708" s="41"/>
      <c r="O708" s="41"/>
      <c r="P708" s="41"/>
    </row>
    <row r="709" ht="14.25" customHeight="1">
      <c r="A709" s="41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1"/>
      <c r="N709" s="41"/>
      <c r="O709" s="41"/>
      <c r="P709" s="41"/>
    </row>
    <row r="710" ht="14.25" customHeight="1">
      <c r="A710" s="41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1"/>
      <c r="N710" s="41"/>
      <c r="O710" s="41"/>
      <c r="P710" s="41"/>
    </row>
    <row r="711" ht="14.25" customHeight="1">
      <c r="A711" s="41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1"/>
      <c r="N711" s="41"/>
      <c r="O711" s="41"/>
      <c r="P711" s="41"/>
    </row>
    <row r="712" ht="14.25" customHeight="1">
      <c r="A712" s="41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1"/>
      <c r="N712" s="41"/>
      <c r="O712" s="41"/>
      <c r="P712" s="41"/>
    </row>
    <row r="713" ht="14.25" customHeight="1">
      <c r="A713" s="41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1"/>
      <c r="N713" s="41"/>
      <c r="O713" s="41"/>
      <c r="P713" s="41"/>
    </row>
    <row r="714" ht="14.25" customHeight="1">
      <c r="A714" s="41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1"/>
      <c r="N714" s="41"/>
      <c r="O714" s="41"/>
      <c r="P714" s="41"/>
    </row>
    <row r="715" ht="14.25" customHeight="1">
      <c r="A715" s="41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1"/>
      <c r="N715" s="41"/>
      <c r="O715" s="41"/>
      <c r="P715" s="41"/>
    </row>
    <row r="716" ht="14.25" customHeight="1">
      <c r="A716" s="41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1"/>
      <c r="N716" s="41"/>
      <c r="O716" s="41"/>
      <c r="P716" s="41"/>
    </row>
    <row r="717" ht="14.25" customHeight="1">
      <c r="A717" s="41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1"/>
      <c r="N717" s="41"/>
      <c r="O717" s="41"/>
      <c r="P717" s="41"/>
    </row>
    <row r="718" ht="14.25" customHeight="1">
      <c r="A718" s="41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1"/>
      <c r="N718" s="41"/>
      <c r="O718" s="41"/>
      <c r="P718" s="41"/>
    </row>
    <row r="719" ht="14.25" customHeight="1">
      <c r="A719" s="41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1"/>
      <c r="N719" s="41"/>
      <c r="O719" s="41"/>
      <c r="P719" s="41"/>
    </row>
    <row r="720" ht="14.25" customHeight="1">
      <c r="A720" s="41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1"/>
      <c r="N720" s="41"/>
      <c r="O720" s="41"/>
      <c r="P720" s="41"/>
    </row>
    <row r="721" ht="14.25" customHeight="1">
      <c r="A721" s="41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1"/>
      <c r="N721" s="41"/>
      <c r="O721" s="41"/>
      <c r="P721" s="41"/>
    </row>
    <row r="722" ht="14.25" customHeight="1">
      <c r="A722" s="41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1"/>
      <c r="N722" s="41"/>
      <c r="O722" s="41"/>
      <c r="P722" s="41"/>
    </row>
    <row r="723" ht="14.25" customHeight="1">
      <c r="A723" s="41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1"/>
      <c r="N723" s="41"/>
      <c r="O723" s="41"/>
      <c r="P723" s="41"/>
    </row>
    <row r="724" ht="14.25" customHeight="1">
      <c r="A724" s="41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1"/>
      <c r="N724" s="41"/>
      <c r="O724" s="41"/>
      <c r="P724" s="41"/>
    </row>
    <row r="725" ht="14.25" customHeight="1">
      <c r="A725" s="41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1"/>
      <c r="N725" s="41"/>
      <c r="O725" s="41"/>
      <c r="P725" s="41"/>
    </row>
    <row r="726" ht="14.25" customHeight="1">
      <c r="A726" s="41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1"/>
      <c r="N726" s="41"/>
      <c r="O726" s="41"/>
      <c r="P726" s="41"/>
    </row>
    <row r="727" ht="14.25" customHeight="1">
      <c r="A727" s="41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1"/>
      <c r="N727" s="41"/>
      <c r="O727" s="41"/>
      <c r="P727" s="41"/>
    </row>
    <row r="728" ht="14.25" customHeight="1">
      <c r="A728" s="41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1"/>
      <c r="N728" s="41"/>
      <c r="O728" s="41"/>
      <c r="P728" s="41"/>
    </row>
    <row r="729" ht="14.25" customHeight="1">
      <c r="A729" s="41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1"/>
      <c r="N729" s="41"/>
      <c r="O729" s="41"/>
      <c r="P729" s="41"/>
    </row>
    <row r="730" ht="14.25" customHeight="1">
      <c r="A730" s="41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1"/>
      <c r="N730" s="41"/>
      <c r="O730" s="41"/>
      <c r="P730" s="41"/>
    </row>
    <row r="731" ht="14.25" customHeight="1">
      <c r="A731" s="41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1"/>
      <c r="N731" s="41"/>
      <c r="O731" s="41"/>
      <c r="P731" s="41"/>
    </row>
    <row r="732" ht="14.25" customHeight="1">
      <c r="A732" s="41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1"/>
      <c r="N732" s="41"/>
      <c r="O732" s="41"/>
      <c r="P732" s="41"/>
    </row>
    <row r="733" ht="14.25" customHeight="1">
      <c r="A733" s="41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1"/>
      <c r="N733" s="41"/>
      <c r="O733" s="41"/>
      <c r="P733" s="41"/>
    </row>
    <row r="734" ht="14.25" customHeight="1">
      <c r="A734" s="41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1"/>
      <c r="N734" s="41"/>
      <c r="O734" s="41"/>
      <c r="P734" s="41"/>
    </row>
    <row r="735" ht="14.25" customHeight="1">
      <c r="A735" s="41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1"/>
      <c r="N735" s="41"/>
      <c r="O735" s="41"/>
      <c r="P735" s="41"/>
    </row>
    <row r="736" ht="14.25" customHeight="1">
      <c r="A736" s="41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1"/>
      <c r="N736" s="41"/>
      <c r="O736" s="41"/>
      <c r="P736" s="41"/>
    </row>
    <row r="737" ht="14.25" customHeight="1">
      <c r="A737" s="41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1"/>
      <c r="N737" s="41"/>
      <c r="O737" s="41"/>
      <c r="P737" s="41"/>
    </row>
    <row r="738" ht="14.25" customHeight="1">
      <c r="A738" s="41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1"/>
      <c r="N738" s="41"/>
      <c r="O738" s="41"/>
      <c r="P738" s="41"/>
    </row>
    <row r="739" ht="14.25" customHeight="1">
      <c r="A739" s="41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1"/>
      <c r="N739" s="41"/>
      <c r="O739" s="41"/>
      <c r="P739" s="41"/>
    </row>
    <row r="740" ht="14.25" customHeight="1">
      <c r="A740" s="41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1"/>
      <c r="N740" s="41"/>
      <c r="O740" s="41"/>
      <c r="P740" s="41"/>
    </row>
    <row r="741" ht="14.25" customHeight="1">
      <c r="A741" s="41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1"/>
      <c r="N741" s="41"/>
      <c r="O741" s="41"/>
      <c r="P741" s="41"/>
    </row>
    <row r="742" ht="14.25" customHeight="1">
      <c r="A742" s="41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1"/>
      <c r="N742" s="41"/>
      <c r="O742" s="41"/>
      <c r="P742" s="41"/>
    </row>
    <row r="743" ht="14.25" customHeight="1">
      <c r="A743" s="41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1"/>
      <c r="N743" s="41"/>
      <c r="O743" s="41"/>
      <c r="P743" s="41"/>
    </row>
    <row r="744" ht="14.25" customHeight="1">
      <c r="A744" s="41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1"/>
      <c r="N744" s="41"/>
      <c r="O744" s="41"/>
      <c r="P744" s="41"/>
    </row>
    <row r="745" ht="14.25" customHeight="1">
      <c r="A745" s="41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1"/>
      <c r="N745" s="41"/>
      <c r="O745" s="41"/>
      <c r="P745" s="41"/>
    </row>
    <row r="746" ht="14.25" customHeight="1">
      <c r="A746" s="41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1"/>
      <c r="N746" s="41"/>
      <c r="O746" s="41"/>
      <c r="P746" s="41"/>
    </row>
    <row r="747" ht="14.25" customHeight="1">
      <c r="A747" s="41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1"/>
      <c r="N747" s="41"/>
      <c r="O747" s="41"/>
      <c r="P747" s="41"/>
    </row>
    <row r="748" ht="14.25" customHeight="1">
      <c r="A748" s="41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1"/>
      <c r="N748" s="41"/>
      <c r="O748" s="41"/>
      <c r="P748" s="41"/>
    </row>
    <row r="749" ht="14.25" customHeight="1">
      <c r="A749" s="41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1"/>
      <c r="N749" s="41"/>
      <c r="O749" s="41"/>
      <c r="P749" s="41"/>
    </row>
    <row r="750" ht="14.25" customHeight="1">
      <c r="A750" s="41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1"/>
      <c r="N750" s="41"/>
      <c r="O750" s="41"/>
      <c r="P750" s="41"/>
    </row>
    <row r="751" ht="14.25" customHeight="1">
      <c r="A751" s="41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1"/>
      <c r="N751" s="41"/>
      <c r="O751" s="41"/>
      <c r="P751" s="41"/>
    </row>
    <row r="752" ht="14.25" customHeight="1">
      <c r="A752" s="41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1"/>
      <c r="N752" s="41"/>
      <c r="O752" s="41"/>
      <c r="P752" s="41"/>
    </row>
    <row r="753" ht="14.25" customHeight="1">
      <c r="A753" s="41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1"/>
      <c r="N753" s="41"/>
      <c r="O753" s="41"/>
      <c r="P753" s="41"/>
    </row>
    <row r="754" ht="14.25" customHeight="1">
      <c r="A754" s="41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1"/>
      <c r="N754" s="41"/>
      <c r="O754" s="41"/>
      <c r="P754" s="41"/>
    </row>
    <row r="755" ht="14.25" customHeight="1">
      <c r="A755" s="41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1"/>
      <c r="N755" s="41"/>
      <c r="O755" s="41"/>
      <c r="P755" s="41"/>
    </row>
    <row r="756" ht="14.25" customHeight="1">
      <c r="A756" s="41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1"/>
      <c r="N756" s="41"/>
      <c r="O756" s="41"/>
      <c r="P756" s="41"/>
    </row>
    <row r="757" ht="14.25" customHeight="1">
      <c r="A757" s="41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1"/>
      <c r="N757" s="41"/>
      <c r="O757" s="41"/>
      <c r="P757" s="41"/>
    </row>
    <row r="758" ht="14.25" customHeight="1">
      <c r="A758" s="41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1"/>
      <c r="N758" s="41"/>
      <c r="O758" s="41"/>
      <c r="P758" s="41"/>
    </row>
    <row r="759" ht="14.25" customHeight="1">
      <c r="A759" s="41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1"/>
      <c r="N759" s="41"/>
      <c r="O759" s="41"/>
      <c r="P759" s="41"/>
    </row>
    <row r="760" ht="14.25" customHeight="1">
      <c r="A760" s="41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1"/>
      <c r="N760" s="41"/>
      <c r="O760" s="41"/>
      <c r="P760" s="41"/>
    </row>
    <row r="761" ht="14.25" customHeight="1">
      <c r="A761" s="41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1"/>
      <c r="N761" s="41"/>
      <c r="O761" s="41"/>
      <c r="P761" s="41"/>
    </row>
    <row r="762" ht="14.25" customHeight="1">
      <c r="A762" s="41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1"/>
      <c r="N762" s="41"/>
      <c r="O762" s="41"/>
      <c r="P762" s="41"/>
    </row>
    <row r="763" ht="14.25" customHeight="1">
      <c r="A763" s="41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1"/>
      <c r="N763" s="41"/>
      <c r="O763" s="41"/>
      <c r="P763" s="41"/>
    </row>
    <row r="764" ht="14.25" customHeight="1">
      <c r="A764" s="41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1"/>
      <c r="N764" s="41"/>
      <c r="O764" s="41"/>
      <c r="P764" s="41"/>
    </row>
    <row r="765" ht="14.25" customHeight="1">
      <c r="A765" s="41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1"/>
      <c r="N765" s="41"/>
      <c r="O765" s="41"/>
      <c r="P765" s="41"/>
    </row>
    <row r="766" ht="14.25" customHeight="1">
      <c r="A766" s="41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1"/>
      <c r="N766" s="41"/>
      <c r="O766" s="41"/>
      <c r="P766" s="41"/>
    </row>
    <row r="767" ht="14.25" customHeight="1">
      <c r="A767" s="41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1"/>
      <c r="N767" s="41"/>
      <c r="O767" s="41"/>
      <c r="P767" s="41"/>
    </row>
    <row r="768" ht="14.25" customHeight="1">
      <c r="A768" s="41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1"/>
      <c r="N768" s="41"/>
      <c r="O768" s="41"/>
      <c r="P768" s="41"/>
    </row>
    <row r="769" ht="14.25" customHeight="1">
      <c r="A769" s="41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1"/>
      <c r="N769" s="41"/>
      <c r="O769" s="41"/>
      <c r="P769" s="41"/>
    </row>
    <row r="770" ht="14.25" customHeight="1">
      <c r="A770" s="41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1"/>
      <c r="N770" s="41"/>
      <c r="O770" s="41"/>
      <c r="P770" s="41"/>
    </row>
    <row r="771" ht="14.25" customHeight="1">
      <c r="A771" s="41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1"/>
      <c r="N771" s="41"/>
      <c r="O771" s="41"/>
      <c r="P771" s="41"/>
    </row>
    <row r="772" ht="14.25" customHeight="1">
      <c r="A772" s="41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1"/>
      <c r="N772" s="41"/>
      <c r="O772" s="41"/>
      <c r="P772" s="41"/>
    </row>
    <row r="773" ht="14.25" customHeight="1">
      <c r="A773" s="41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1"/>
      <c r="N773" s="41"/>
      <c r="O773" s="41"/>
      <c r="P773" s="41"/>
    </row>
    <row r="774" ht="14.25" customHeight="1">
      <c r="A774" s="41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1"/>
      <c r="N774" s="41"/>
      <c r="O774" s="41"/>
      <c r="P774" s="41"/>
    </row>
    <row r="775" ht="14.25" customHeight="1">
      <c r="A775" s="41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1"/>
      <c r="N775" s="41"/>
      <c r="O775" s="41"/>
      <c r="P775" s="41"/>
    </row>
    <row r="776" ht="14.25" customHeight="1">
      <c r="A776" s="41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1"/>
      <c r="N776" s="41"/>
      <c r="O776" s="41"/>
      <c r="P776" s="41"/>
    </row>
    <row r="777" ht="14.25" customHeight="1">
      <c r="A777" s="41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1"/>
      <c r="N777" s="41"/>
      <c r="O777" s="41"/>
      <c r="P777" s="41"/>
    </row>
    <row r="778" ht="14.25" customHeight="1">
      <c r="A778" s="41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1"/>
      <c r="N778" s="41"/>
      <c r="O778" s="41"/>
      <c r="P778" s="41"/>
    </row>
    <row r="779" ht="14.25" customHeight="1">
      <c r="A779" s="41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1"/>
      <c r="N779" s="41"/>
      <c r="O779" s="41"/>
      <c r="P779" s="41"/>
    </row>
    <row r="780" ht="14.25" customHeight="1">
      <c r="A780" s="41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1"/>
      <c r="N780" s="41"/>
      <c r="O780" s="41"/>
      <c r="P780" s="41"/>
    </row>
    <row r="781" ht="14.25" customHeight="1">
      <c r="A781" s="41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1"/>
      <c r="N781" s="41"/>
      <c r="O781" s="41"/>
      <c r="P781" s="41"/>
    </row>
    <row r="782" ht="14.25" customHeight="1">
      <c r="A782" s="41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1"/>
      <c r="N782" s="41"/>
      <c r="O782" s="41"/>
      <c r="P782" s="41"/>
    </row>
    <row r="783" ht="14.25" customHeight="1">
      <c r="A783" s="41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1"/>
      <c r="N783" s="41"/>
      <c r="O783" s="41"/>
      <c r="P783" s="41"/>
    </row>
    <row r="784" ht="14.25" customHeight="1">
      <c r="A784" s="41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1"/>
      <c r="N784" s="41"/>
      <c r="O784" s="41"/>
      <c r="P784" s="41"/>
    </row>
    <row r="785" ht="14.25" customHeight="1">
      <c r="A785" s="41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1"/>
      <c r="N785" s="41"/>
      <c r="O785" s="41"/>
      <c r="P785" s="41"/>
    </row>
    <row r="786" ht="14.25" customHeight="1">
      <c r="A786" s="41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1"/>
      <c r="N786" s="41"/>
      <c r="O786" s="41"/>
      <c r="P786" s="41"/>
    </row>
    <row r="787" ht="14.25" customHeight="1">
      <c r="A787" s="41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1"/>
      <c r="N787" s="41"/>
      <c r="O787" s="41"/>
      <c r="P787" s="41"/>
    </row>
    <row r="788" ht="14.25" customHeight="1">
      <c r="A788" s="41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1"/>
      <c r="N788" s="41"/>
      <c r="O788" s="41"/>
      <c r="P788" s="41"/>
    </row>
    <row r="789" ht="14.25" customHeight="1">
      <c r="A789" s="41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1"/>
      <c r="N789" s="41"/>
      <c r="O789" s="41"/>
      <c r="P789" s="41"/>
    </row>
    <row r="790" ht="14.25" customHeight="1">
      <c r="A790" s="41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1"/>
      <c r="N790" s="41"/>
      <c r="O790" s="41"/>
      <c r="P790" s="41"/>
    </row>
    <row r="791" ht="14.25" customHeight="1">
      <c r="A791" s="41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1"/>
      <c r="N791" s="41"/>
      <c r="O791" s="41"/>
      <c r="P791" s="41"/>
    </row>
    <row r="792" ht="14.25" customHeight="1">
      <c r="A792" s="41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1"/>
      <c r="N792" s="41"/>
      <c r="O792" s="41"/>
      <c r="P792" s="41"/>
    </row>
    <row r="793" ht="14.25" customHeight="1">
      <c r="A793" s="41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1"/>
      <c r="N793" s="41"/>
      <c r="O793" s="41"/>
      <c r="P793" s="41"/>
    </row>
    <row r="794" ht="14.25" customHeight="1">
      <c r="A794" s="41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1"/>
      <c r="N794" s="41"/>
      <c r="O794" s="41"/>
      <c r="P794" s="41"/>
    </row>
    <row r="795" ht="14.25" customHeight="1">
      <c r="A795" s="41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1"/>
      <c r="N795" s="41"/>
      <c r="O795" s="41"/>
      <c r="P795" s="41"/>
    </row>
    <row r="796" ht="14.25" customHeight="1">
      <c r="A796" s="41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1"/>
      <c r="N796" s="41"/>
      <c r="O796" s="41"/>
      <c r="P796" s="41"/>
    </row>
    <row r="797" ht="14.25" customHeight="1">
      <c r="A797" s="41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1"/>
      <c r="N797" s="41"/>
      <c r="O797" s="41"/>
      <c r="P797" s="41"/>
    </row>
    <row r="798" ht="14.25" customHeight="1">
      <c r="A798" s="41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1"/>
      <c r="N798" s="41"/>
      <c r="O798" s="41"/>
      <c r="P798" s="41"/>
    </row>
    <row r="799" ht="14.25" customHeight="1">
      <c r="A799" s="41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1"/>
      <c r="N799" s="41"/>
      <c r="O799" s="41"/>
      <c r="P799" s="41"/>
    </row>
    <row r="800" ht="14.25" customHeight="1">
      <c r="A800" s="41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1"/>
      <c r="N800" s="41"/>
      <c r="O800" s="41"/>
      <c r="P800" s="41"/>
    </row>
    <row r="801" ht="14.25" customHeight="1">
      <c r="A801" s="41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1"/>
      <c r="N801" s="41"/>
      <c r="O801" s="41"/>
      <c r="P801" s="41"/>
    </row>
    <row r="802" ht="14.25" customHeight="1">
      <c r="A802" s="41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1"/>
      <c r="N802" s="41"/>
      <c r="O802" s="41"/>
      <c r="P802" s="41"/>
    </row>
    <row r="803" ht="14.25" customHeight="1">
      <c r="A803" s="41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1"/>
      <c r="N803" s="41"/>
      <c r="O803" s="41"/>
      <c r="P803" s="41"/>
    </row>
    <row r="804" ht="14.25" customHeight="1">
      <c r="A804" s="41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1"/>
      <c r="N804" s="41"/>
      <c r="O804" s="41"/>
      <c r="P804" s="41"/>
    </row>
    <row r="805" ht="14.25" customHeight="1">
      <c r="A805" s="41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1"/>
      <c r="N805" s="41"/>
      <c r="O805" s="41"/>
      <c r="P805" s="41"/>
    </row>
    <row r="806" ht="14.25" customHeight="1">
      <c r="A806" s="41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1"/>
      <c r="N806" s="41"/>
      <c r="O806" s="41"/>
      <c r="P806" s="41"/>
    </row>
    <row r="807" ht="14.25" customHeight="1">
      <c r="A807" s="41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1"/>
      <c r="N807" s="41"/>
      <c r="O807" s="41"/>
      <c r="P807" s="41"/>
    </row>
    <row r="808" ht="14.25" customHeight="1">
      <c r="A808" s="41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1"/>
      <c r="N808" s="41"/>
      <c r="O808" s="41"/>
      <c r="P808" s="41"/>
    </row>
    <row r="809" ht="14.25" customHeight="1">
      <c r="A809" s="41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1"/>
      <c r="N809" s="41"/>
      <c r="O809" s="41"/>
      <c r="P809" s="41"/>
    </row>
    <row r="810" ht="14.25" customHeight="1">
      <c r="A810" s="41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1"/>
      <c r="N810" s="41"/>
      <c r="O810" s="41"/>
      <c r="P810" s="41"/>
    </row>
    <row r="811" ht="14.25" customHeight="1">
      <c r="A811" s="41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1"/>
      <c r="N811" s="41"/>
      <c r="O811" s="41"/>
      <c r="P811" s="41"/>
    </row>
    <row r="812" ht="14.25" customHeight="1">
      <c r="A812" s="41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1"/>
      <c r="N812" s="41"/>
      <c r="O812" s="41"/>
      <c r="P812" s="41"/>
    </row>
    <row r="813" ht="14.25" customHeight="1">
      <c r="A813" s="41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1"/>
      <c r="N813" s="41"/>
      <c r="O813" s="41"/>
      <c r="P813" s="41"/>
    </row>
    <row r="814" ht="14.25" customHeight="1">
      <c r="A814" s="41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1"/>
      <c r="N814" s="41"/>
      <c r="O814" s="41"/>
      <c r="P814" s="41"/>
    </row>
    <row r="815" ht="14.25" customHeight="1">
      <c r="A815" s="41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1"/>
      <c r="N815" s="41"/>
      <c r="O815" s="41"/>
      <c r="P815" s="41"/>
    </row>
    <row r="816" ht="14.25" customHeight="1">
      <c r="A816" s="41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1"/>
      <c r="N816" s="41"/>
      <c r="O816" s="41"/>
      <c r="P816" s="41"/>
    </row>
    <row r="817" ht="14.25" customHeight="1">
      <c r="A817" s="41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1"/>
      <c r="N817" s="41"/>
      <c r="O817" s="41"/>
      <c r="P817" s="41"/>
    </row>
    <row r="818" ht="14.25" customHeight="1">
      <c r="A818" s="41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1"/>
      <c r="N818" s="41"/>
      <c r="O818" s="41"/>
      <c r="P818" s="41"/>
    </row>
    <row r="819" ht="14.25" customHeight="1">
      <c r="A819" s="41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1"/>
      <c r="N819" s="41"/>
      <c r="O819" s="41"/>
      <c r="P819" s="41"/>
    </row>
    <row r="820" ht="14.25" customHeight="1">
      <c r="A820" s="41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1"/>
      <c r="N820" s="41"/>
      <c r="O820" s="41"/>
      <c r="P820" s="41"/>
    </row>
    <row r="821" ht="14.25" customHeight="1">
      <c r="A821" s="41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1"/>
      <c r="N821" s="41"/>
      <c r="O821" s="41"/>
      <c r="P821" s="41"/>
    </row>
    <row r="822" ht="14.25" customHeight="1">
      <c r="A822" s="41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1"/>
      <c r="N822" s="41"/>
      <c r="O822" s="41"/>
      <c r="P822" s="41"/>
    </row>
    <row r="823" ht="14.25" customHeight="1">
      <c r="A823" s="41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1"/>
      <c r="N823" s="41"/>
      <c r="O823" s="41"/>
      <c r="P823" s="41"/>
    </row>
    <row r="824" ht="14.25" customHeight="1">
      <c r="A824" s="41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1"/>
      <c r="N824" s="41"/>
      <c r="O824" s="41"/>
      <c r="P824" s="41"/>
    </row>
    <row r="825" ht="14.25" customHeight="1">
      <c r="A825" s="41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1"/>
      <c r="N825" s="41"/>
      <c r="O825" s="41"/>
      <c r="P825" s="41"/>
    </row>
    <row r="826" ht="14.25" customHeight="1">
      <c r="A826" s="41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1"/>
      <c r="N826" s="41"/>
      <c r="O826" s="41"/>
      <c r="P826" s="41"/>
    </row>
    <row r="827" ht="14.25" customHeight="1">
      <c r="A827" s="41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1"/>
      <c r="N827" s="41"/>
      <c r="O827" s="41"/>
      <c r="P827" s="41"/>
    </row>
    <row r="828" ht="14.25" customHeight="1">
      <c r="A828" s="41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1"/>
      <c r="N828" s="41"/>
      <c r="O828" s="41"/>
      <c r="P828" s="41"/>
    </row>
    <row r="829" ht="14.25" customHeight="1">
      <c r="A829" s="41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1"/>
      <c r="N829" s="41"/>
      <c r="O829" s="41"/>
      <c r="P829" s="41"/>
    </row>
    <row r="830" ht="14.25" customHeight="1">
      <c r="A830" s="41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1"/>
      <c r="N830" s="41"/>
      <c r="O830" s="41"/>
      <c r="P830" s="41"/>
    </row>
    <row r="831" ht="14.25" customHeight="1">
      <c r="A831" s="41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1"/>
      <c r="N831" s="41"/>
      <c r="O831" s="41"/>
      <c r="P831" s="41"/>
    </row>
    <row r="832" ht="14.25" customHeight="1">
      <c r="A832" s="41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1"/>
      <c r="N832" s="41"/>
      <c r="O832" s="41"/>
      <c r="P832" s="41"/>
    </row>
    <row r="833" ht="14.25" customHeight="1">
      <c r="A833" s="41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1"/>
      <c r="N833" s="41"/>
      <c r="O833" s="41"/>
      <c r="P833" s="41"/>
    </row>
    <row r="834" ht="14.25" customHeight="1">
      <c r="A834" s="41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1"/>
      <c r="N834" s="41"/>
      <c r="O834" s="41"/>
      <c r="P834" s="41"/>
    </row>
    <row r="835" ht="14.25" customHeight="1">
      <c r="A835" s="41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1"/>
      <c r="N835" s="41"/>
      <c r="O835" s="41"/>
      <c r="P835" s="41"/>
    </row>
    <row r="836" ht="14.25" customHeight="1">
      <c r="A836" s="41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1"/>
      <c r="N836" s="41"/>
      <c r="O836" s="41"/>
      <c r="P836" s="41"/>
    </row>
    <row r="837" ht="14.25" customHeight="1">
      <c r="A837" s="41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1"/>
      <c r="N837" s="41"/>
      <c r="O837" s="41"/>
      <c r="P837" s="41"/>
    </row>
    <row r="838" ht="14.25" customHeight="1">
      <c r="A838" s="41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1"/>
      <c r="N838" s="41"/>
      <c r="O838" s="41"/>
      <c r="P838" s="41"/>
    </row>
    <row r="839" ht="14.25" customHeight="1">
      <c r="A839" s="41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1"/>
      <c r="N839" s="41"/>
      <c r="O839" s="41"/>
      <c r="P839" s="41"/>
    </row>
    <row r="840" ht="14.25" customHeight="1">
      <c r="A840" s="41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1"/>
      <c r="N840" s="41"/>
      <c r="O840" s="41"/>
      <c r="P840" s="41"/>
    </row>
    <row r="841" ht="14.25" customHeight="1">
      <c r="A841" s="41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1"/>
      <c r="N841" s="41"/>
      <c r="O841" s="41"/>
      <c r="P841" s="41"/>
    </row>
    <row r="842" ht="14.25" customHeight="1">
      <c r="A842" s="41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1"/>
      <c r="N842" s="41"/>
      <c r="O842" s="41"/>
      <c r="P842" s="41"/>
    </row>
    <row r="843" ht="14.25" customHeight="1">
      <c r="A843" s="41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1"/>
      <c r="N843" s="41"/>
      <c r="O843" s="41"/>
      <c r="P843" s="41"/>
    </row>
    <row r="844" ht="14.25" customHeight="1">
      <c r="A844" s="41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1"/>
      <c r="N844" s="41"/>
      <c r="O844" s="41"/>
      <c r="P844" s="41"/>
    </row>
    <row r="845" ht="14.25" customHeight="1">
      <c r="A845" s="41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1"/>
      <c r="N845" s="41"/>
      <c r="O845" s="41"/>
      <c r="P845" s="41"/>
    </row>
    <row r="846" ht="14.25" customHeight="1">
      <c r="A846" s="41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1"/>
      <c r="N846" s="41"/>
      <c r="O846" s="41"/>
      <c r="P846" s="41"/>
    </row>
    <row r="847" ht="14.25" customHeight="1">
      <c r="A847" s="41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1"/>
      <c r="N847" s="41"/>
      <c r="O847" s="41"/>
      <c r="P847" s="41"/>
    </row>
    <row r="848" ht="14.25" customHeight="1">
      <c r="A848" s="41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1"/>
      <c r="N848" s="41"/>
      <c r="O848" s="41"/>
      <c r="P848" s="41"/>
    </row>
    <row r="849" ht="14.25" customHeight="1">
      <c r="A849" s="41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1"/>
      <c r="N849" s="41"/>
      <c r="O849" s="41"/>
      <c r="P849" s="41"/>
    </row>
    <row r="850" ht="14.25" customHeight="1">
      <c r="A850" s="41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1"/>
      <c r="N850" s="41"/>
      <c r="O850" s="41"/>
      <c r="P850" s="41"/>
    </row>
    <row r="851" ht="14.25" customHeight="1">
      <c r="A851" s="41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1"/>
      <c r="N851" s="41"/>
      <c r="O851" s="41"/>
      <c r="P851" s="41"/>
    </row>
    <row r="852" ht="14.25" customHeight="1">
      <c r="A852" s="41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1"/>
      <c r="N852" s="41"/>
      <c r="O852" s="41"/>
      <c r="P852" s="41"/>
    </row>
    <row r="853" ht="14.25" customHeight="1">
      <c r="A853" s="41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1"/>
      <c r="N853" s="41"/>
      <c r="O853" s="41"/>
      <c r="P853" s="41"/>
    </row>
    <row r="854" ht="14.25" customHeight="1">
      <c r="A854" s="41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1"/>
      <c r="N854" s="41"/>
      <c r="O854" s="41"/>
      <c r="P854" s="41"/>
    </row>
    <row r="855" ht="14.25" customHeight="1">
      <c r="A855" s="41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1"/>
      <c r="N855" s="41"/>
      <c r="O855" s="41"/>
      <c r="P855" s="41"/>
    </row>
    <row r="856" ht="14.25" customHeight="1">
      <c r="A856" s="41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1"/>
      <c r="N856" s="41"/>
      <c r="O856" s="41"/>
      <c r="P856" s="41"/>
    </row>
    <row r="857" ht="14.25" customHeight="1">
      <c r="A857" s="41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1"/>
      <c r="N857" s="41"/>
      <c r="O857" s="41"/>
      <c r="P857" s="41"/>
    </row>
    <row r="858" ht="14.25" customHeight="1">
      <c r="A858" s="41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1"/>
      <c r="N858" s="41"/>
      <c r="O858" s="41"/>
      <c r="P858" s="41"/>
    </row>
    <row r="859" ht="14.25" customHeight="1">
      <c r="A859" s="41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1"/>
      <c r="N859" s="41"/>
      <c r="O859" s="41"/>
      <c r="P859" s="41"/>
    </row>
    <row r="860" ht="14.25" customHeight="1">
      <c r="A860" s="41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1"/>
      <c r="N860" s="41"/>
      <c r="O860" s="41"/>
      <c r="P860" s="41"/>
    </row>
    <row r="861" ht="14.25" customHeight="1">
      <c r="A861" s="41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1"/>
      <c r="N861" s="41"/>
      <c r="O861" s="41"/>
      <c r="P861" s="41"/>
    </row>
    <row r="862" ht="14.25" customHeight="1">
      <c r="A862" s="41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1"/>
      <c r="N862" s="41"/>
      <c r="O862" s="41"/>
      <c r="P862" s="41"/>
    </row>
    <row r="863" ht="14.25" customHeight="1">
      <c r="A863" s="41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1"/>
      <c r="N863" s="41"/>
      <c r="O863" s="41"/>
      <c r="P863" s="41"/>
    </row>
    <row r="864" ht="14.25" customHeight="1">
      <c r="A864" s="41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1"/>
      <c r="N864" s="41"/>
      <c r="O864" s="41"/>
      <c r="P864" s="41"/>
    </row>
    <row r="865" ht="14.25" customHeight="1">
      <c r="A865" s="41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1"/>
      <c r="N865" s="41"/>
      <c r="O865" s="41"/>
      <c r="P865" s="41"/>
    </row>
    <row r="866" ht="14.25" customHeight="1">
      <c r="A866" s="41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1"/>
      <c r="N866" s="41"/>
      <c r="O866" s="41"/>
      <c r="P866" s="41"/>
    </row>
    <row r="867" ht="14.25" customHeight="1">
      <c r="A867" s="41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1"/>
      <c r="N867" s="41"/>
      <c r="O867" s="41"/>
      <c r="P867" s="41"/>
    </row>
    <row r="868" ht="14.25" customHeight="1">
      <c r="A868" s="41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1"/>
      <c r="N868" s="41"/>
      <c r="O868" s="41"/>
      <c r="P868" s="41"/>
    </row>
    <row r="869" ht="14.25" customHeight="1">
      <c r="A869" s="41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1"/>
      <c r="N869" s="41"/>
      <c r="O869" s="41"/>
      <c r="P869" s="41"/>
    </row>
    <row r="870" ht="14.25" customHeight="1">
      <c r="A870" s="41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1"/>
      <c r="N870" s="41"/>
      <c r="O870" s="41"/>
      <c r="P870" s="41"/>
    </row>
    <row r="871" ht="14.25" customHeight="1">
      <c r="A871" s="41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1"/>
      <c r="N871" s="41"/>
      <c r="O871" s="41"/>
      <c r="P871" s="41"/>
    </row>
    <row r="872" ht="14.25" customHeight="1">
      <c r="A872" s="41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1"/>
      <c r="N872" s="41"/>
      <c r="O872" s="41"/>
      <c r="P872" s="41"/>
    </row>
    <row r="873" ht="14.25" customHeight="1">
      <c r="A873" s="41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1"/>
      <c r="N873" s="41"/>
      <c r="O873" s="41"/>
      <c r="P873" s="41"/>
    </row>
    <row r="874" ht="14.25" customHeight="1">
      <c r="A874" s="41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1"/>
      <c r="N874" s="41"/>
      <c r="O874" s="41"/>
      <c r="P874" s="41"/>
    </row>
    <row r="875" ht="14.25" customHeight="1">
      <c r="A875" s="41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1"/>
      <c r="N875" s="41"/>
      <c r="O875" s="41"/>
      <c r="P875" s="41"/>
    </row>
    <row r="876" ht="14.25" customHeight="1">
      <c r="A876" s="41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1"/>
      <c r="N876" s="41"/>
      <c r="O876" s="41"/>
      <c r="P876" s="41"/>
    </row>
    <row r="877" ht="14.25" customHeight="1">
      <c r="A877" s="41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1"/>
      <c r="N877" s="41"/>
      <c r="O877" s="41"/>
      <c r="P877" s="41"/>
    </row>
    <row r="878" ht="14.25" customHeight="1">
      <c r="A878" s="41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1"/>
      <c r="N878" s="41"/>
      <c r="O878" s="41"/>
      <c r="P878" s="41"/>
    </row>
    <row r="879" ht="14.25" customHeight="1">
      <c r="A879" s="41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1"/>
      <c r="N879" s="41"/>
      <c r="O879" s="41"/>
      <c r="P879" s="41"/>
    </row>
    <row r="880" ht="14.25" customHeight="1">
      <c r="A880" s="41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1"/>
      <c r="N880" s="41"/>
      <c r="O880" s="41"/>
      <c r="P880" s="41"/>
    </row>
    <row r="881" ht="14.25" customHeight="1">
      <c r="A881" s="41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1"/>
      <c r="N881" s="41"/>
      <c r="O881" s="41"/>
      <c r="P881" s="41"/>
    </row>
    <row r="882" ht="14.25" customHeight="1">
      <c r="A882" s="41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1"/>
      <c r="N882" s="41"/>
      <c r="O882" s="41"/>
      <c r="P882" s="41"/>
    </row>
    <row r="883" ht="14.25" customHeight="1">
      <c r="A883" s="41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1"/>
      <c r="N883" s="41"/>
      <c r="O883" s="41"/>
      <c r="P883" s="41"/>
    </row>
    <row r="884" ht="14.25" customHeight="1">
      <c r="A884" s="41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1"/>
      <c r="N884" s="41"/>
      <c r="O884" s="41"/>
      <c r="P884" s="41"/>
    </row>
    <row r="885" ht="14.25" customHeight="1">
      <c r="A885" s="41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1"/>
      <c r="N885" s="41"/>
      <c r="O885" s="41"/>
      <c r="P885" s="41"/>
    </row>
    <row r="886" ht="14.25" customHeight="1">
      <c r="A886" s="41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1"/>
      <c r="N886" s="41"/>
      <c r="O886" s="41"/>
      <c r="P886" s="41"/>
    </row>
    <row r="887" ht="14.25" customHeight="1">
      <c r="A887" s="41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1"/>
      <c r="N887" s="41"/>
      <c r="O887" s="41"/>
      <c r="P887" s="41"/>
    </row>
    <row r="888" ht="14.25" customHeight="1">
      <c r="A888" s="41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1"/>
      <c r="N888" s="41"/>
      <c r="O888" s="41"/>
      <c r="P888" s="41"/>
    </row>
    <row r="889" ht="14.25" customHeight="1">
      <c r="A889" s="41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1"/>
      <c r="N889" s="41"/>
      <c r="O889" s="41"/>
      <c r="P889" s="41"/>
    </row>
    <row r="890" ht="14.25" customHeight="1">
      <c r="A890" s="41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1"/>
      <c r="N890" s="41"/>
      <c r="O890" s="41"/>
      <c r="P890" s="41"/>
    </row>
    <row r="891" ht="14.25" customHeight="1">
      <c r="A891" s="41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1"/>
      <c r="N891" s="41"/>
      <c r="O891" s="41"/>
      <c r="P891" s="41"/>
    </row>
    <row r="892" ht="14.25" customHeight="1">
      <c r="A892" s="41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1"/>
      <c r="N892" s="41"/>
      <c r="O892" s="41"/>
      <c r="P892" s="41"/>
    </row>
    <row r="893" ht="14.25" customHeight="1">
      <c r="A893" s="41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1"/>
      <c r="N893" s="41"/>
      <c r="O893" s="41"/>
      <c r="P893" s="41"/>
    </row>
    <row r="894" ht="14.25" customHeight="1">
      <c r="A894" s="41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1"/>
      <c r="N894" s="41"/>
      <c r="O894" s="41"/>
      <c r="P894" s="41"/>
    </row>
    <row r="895" ht="14.25" customHeight="1">
      <c r="A895" s="41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1"/>
      <c r="N895" s="41"/>
      <c r="O895" s="41"/>
      <c r="P895" s="41"/>
    </row>
    <row r="896" ht="14.25" customHeight="1">
      <c r="A896" s="41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1"/>
      <c r="N896" s="41"/>
      <c r="O896" s="41"/>
      <c r="P896" s="41"/>
    </row>
    <row r="897" ht="14.25" customHeight="1">
      <c r="A897" s="41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1"/>
      <c r="N897" s="41"/>
      <c r="O897" s="41"/>
      <c r="P897" s="41"/>
    </row>
    <row r="898" ht="14.25" customHeight="1">
      <c r="A898" s="41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1"/>
      <c r="N898" s="41"/>
      <c r="O898" s="41"/>
      <c r="P898" s="41"/>
    </row>
    <row r="899" ht="14.25" customHeight="1">
      <c r="A899" s="41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1"/>
      <c r="N899" s="41"/>
      <c r="O899" s="41"/>
      <c r="P899" s="41"/>
    </row>
    <row r="900" ht="14.25" customHeight="1">
      <c r="A900" s="41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1"/>
      <c r="N900" s="41"/>
      <c r="O900" s="41"/>
      <c r="P900" s="41"/>
    </row>
    <row r="901" ht="14.25" customHeight="1">
      <c r="A901" s="41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1"/>
      <c r="N901" s="41"/>
      <c r="O901" s="41"/>
      <c r="P901" s="41"/>
    </row>
    <row r="902" ht="14.25" customHeight="1">
      <c r="A902" s="41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1"/>
      <c r="N902" s="41"/>
      <c r="O902" s="41"/>
      <c r="P902" s="41"/>
    </row>
    <row r="903" ht="14.25" customHeight="1">
      <c r="A903" s="41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1"/>
      <c r="N903" s="41"/>
      <c r="O903" s="41"/>
      <c r="P903" s="41"/>
    </row>
    <row r="904" ht="14.25" customHeight="1">
      <c r="A904" s="41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1"/>
      <c r="N904" s="41"/>
      <c r="O904" s="41"/>
      <c r="P904" s="41"/>
    </row>
    <row r="905" ht="14.25" customHeight="1">
      <c r="A905" s="41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1"/>
      <c r="N905" s="41"/>
      <c r="O905" s="41"/>
      <c r="P905" s="41"/>
    </row>
    <row r="906" ht="14.25" customHeight="1">
      <c r="A906" s="41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1"/>
      <c r="N906" s="41"/>
      <c r="O906" s="41"/>
      <c r="P906" s="41"/>
    </row>
    <row r="907" ht="14.25" customHeight="1">
      <c r="A907" s="41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1"/>
      <c r="N907" s="41"/>
      <c r="O907" s="41"/>
      <c r="P907" s="41"/>
    </row>
    <row r="908" ht="14.25" customHeight="1">
      <c r="A908" s="41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1"/>
      <c r="N908" s="41"/>
      <c r="O908" s="41"/>
      <c r="P908" s="41"/>
    </row>
    <row r="909" ht="14.25" customHeight="1">
      <c r="A909" s="41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1"/>
      <c r="N909" s="41"/>
      <c r="O909" s="41"/>
      <c r="P909" s="41"/>
    </row>
    <row r="910" ht="14.25" customHeight="1">
      <c r="A910" s="41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1"/>
      <c r="N910" s="41"/>
      <c r="O910" s="41"/>
      <c r="P910" s="41"/>
    </row>
    <row r="911" ht="14.25" customHeight="1">
      <c r="A911" s="41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1"/>
      <c r="N911" s="41"/>
      <c r="O911" s="41"/>
      <c r="P911" s="41"/>
    </row>
    <row r="912" ht="14.25" customHeight="1">
      <c r="A912" s="41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1"/>
      <c r="N912" s="41"/>
      <c r="O912" s="41"/>
      <c r="P912" s="41"/>
    </row>
    <row r="913" ht="14.25" customHeight="1">
      <c r="A913" s="41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1"/>
      <c r="N913" s="41"/>
      <c r="O913" s="41"/>
      <c r="P913" s="41"/>
    </row>
    <row r="914" ht="14.25" customHeight="1">
      <c r="A914" s="41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1"/>
      <c r="N914" s="41"/>
      <c r="O914" s="41"/>
      <c r="P914" s="41"/>
    </row>
    <row r="915" ht="14.25" customHeight="1">
      <c r="A915" s="41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1"/>
      <c r="N915" s="41"/>
      <c r="O915" s="41"/>
      <c r="P915" s="41"/>
    </row>
    <row r="916" ht="14.25" customHeight="1">
      <c r="A916" s="41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1"/>
      <c r="N916" s="41"/>
      <c r="O916" s="41"/>
      <c r="P916" s="41"/>
    </row>
    <row r="917" ht="14.25" customHeight="1">
      <c r="A917" s="41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1"/>
      <c r="N917" s="41"/>
      <c r="O917" s="41"/>
      <c r="P917" s="41"/>
    </row>
    <row r="918" ht="14.25" customHeight="1">
      <c r="A918" s="41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1"/>
      <c r="N918" s="41"/>
      <c r="O918" s="41"/>
      <c r="P918" s="41"/>
    </row>
    <row r="919" ht="14.25" customHeight="1">
      <c r="A919" s="41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1"/>
      <c r="N919" s="41"/>
      <c r="O919" s="41"/>
      <c r="P919" s="41"/>
    </row>
    <row r="920" ht="14.25" customHeight="1">
      <c r="A920" s="41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1"/>
      <c r="N920" s="41"/>
      <c r="O920" s="41"/>
      <c r="P920" s="41"/>
    </row>
    <row r="921" ht="14.25" customHeight="1">
      <c r="A921" s="41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1"/>
      <c r="N921" s="41"/>
      <c r="O921" s="41"/>
      <c r="P921" s="41"/>
    </row>
    <row r="922" ht="14.25" customHeight="1">
      <c r="A922" s="41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1"/>
      <c r="N922" s="41"/>
      <c r="O922" s="41"/>
      <c r="P922" s="41"/>
    </row>
    <row r="923" ht="14.25" customHeight="1">
      <c r="A923" s="41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1"/>
      <c r="N923" s="41"/>
      <c r="O923" s="41"/>
      <c r="P923" s="41"/>
    </row>
    <row r="924" ht="14.25" customHeight="1">
      <c r="A924" s="41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1"/>
      <c r="N924" s="41"/>
      <c r="O924" s="41"/>
      <c r="P924" s="41"/>
    </row>
    <row r="925" ht="14.25" customHeight="1">
      <c r="A925" s="41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1"/>
      <c r="N925" s="41"/>
      <c r="O925" s="41"/>
      <c r="P925" s="41"/>
    </row>
    <row r="926" ht="14.25" customHeight="1">
      <c r="A926" s="41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1"/>
      <c r="N926" s="41"/>
      <c r="O926" s="41"/>
      <c r="P926" s="41"/>
    </row>
    <row r="927" ht="14.25" customHeight="1">
      <c r="A927" s="41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1"/>
      <c r="N927" s="41"/>
      <c r="O927" s="41"/>
      <c r="P927" s="41"/>
    </row>
    <row r="928" ht="14.25" customHeight="1">
      <c r="A928" s="41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1"/>
      <c r="N928" s="41"/>
      <c r="O928" s="41"/>
      <c r="P928" s="41"/>
    </row>
    <row r="929" ht="14.25" customHeight="1">
      <c r="A929" s="41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1"/>
      <c r="N929" s="41"/>
      <c r="O929" s="41"/>
      <c r="P929" s="41"/>
    </row>
    <row r="930" ht="14.25" customHeight="1">
      <c r="A930" s="41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1"/>
      <c r="N930" s="41"/>
      <c r="O930" s="41"/>
      <c r="P930" s="41"/>
    </row>
    <row r="931" ht="14.25" customHeight="1">
      <c r="A931" s="41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1"/>
      <c r="N931" s="41"/>
      <c r="O931" s="41"/>
      <c r="P931" s="41"/>
    </row>
    <row r="932" ht="14.25" customHeight="1">
      <c r="A932" s="41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1"/>
      <c r="N932" s="41"/>
      <c r="O932" s="41"/>
      <c r="P932" s="41"/>
    </row>
    <row r="933" ht="14.25" customHeight="1">
      <c r="A933" s="41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1"/>
      <c r="N933" s="41"/>
      <c r="O933" s="41"/>
      <c r="P933" s="41"/>
    </row>
    <row r="934" ht="14.25" customHeight="1">
      <c r="A934" s="41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1"/>
      <c r="N934" s="41"/>
      <c r="O934" s="41"/>
      <c r="P934" s="41"/>
    </row>
    <row r="935" ht="14.25" customHeight="1">
      <c r="A935" s="41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1"/>
      <c r="N935" s="41"/>
      <c r="O935" s="41"/>
      <c r="P935" s="41"/>
    </row>
    <row r="936" ht="14.25" customHeight="1">
      <c r="A936" s="41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1"/>
      <c r="N936" s="41"/>
      <c r="O936" s="41"/>
      <c r="P936" s="41"/>
    </row>
    <row r="937" ht="14.25" customHeight="1">
      <c r="A937" s="41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1"/>
      <c r="N937" s="41"/>
      <c r="O937" s="41"/>
      <c r="P937" s="41"/>
    </row>
    <row r="938" ht="14.25" customHeight="1">
      <c r="A938" s="41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1"/>
      <c r="N938" s="41"/>
      <c r="O938" s="41"/>
      <c r="P938" s="41"/>
    </row>
    <row r="939" ht="14.25" customHeight="1">
      <c r="A939" s="41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1"/>
      <c r="N939" s="41"/>
      <c r="O939" s="41"/>
      <c r="P939" s="41"/>
    </row>
    <row r="940" ht="14.25" customHeight="1">
      <c r="A940" s="41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1"/>
      <c r="N940" s="41"/>
      <c r="O940" s="41"/>
      <c r="P940" s="41"/>
    </row>
    <row r="941" ht="14.25" customHeight="1">
      <c r="A941" s="41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1"/>
      <c r="N941" s="41"/>
      <c r="O941" s="41"/>
      <c r="P941" s="41"/>
    </row>
    <row r="942" ht="14.25" customHeight="1">
      <c r="A942" s="41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1"/>
      <c r="N942" s="41"/>
      <c r="O942" s="41"/>
      <c r="P942" s="41"/>
    </row>
    <row r="943" ht="14.25" customHeight="1">
      <c r="A943" s="41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1"/>
      <c r="N943" s="41"/>
      <c r="O943" s="41"/>
      <c r="P943" s="41"/>
    </row>
    <row r="944" ht="14.25" customHeight="1">
      <c r="A944" s="41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1"/>
      <c r="N944" s="41"/>
      <c r="O944" s="41"/>
      <c r="P944" s="41"/>
    </row>
    <row r="945" ht="14.25" customHeight="1">
      <c r="A945" s="41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1"/>
      <c r="N945" s="41"/>
      <c r="O945" s="41"/>
      <c r="P945" s="41"/>
    </row>
    <row r="946" ht="14.25" customHeight="1">
      <c r="A946" s="41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1"/>
      <c r="N946" s="41"/>
      <c r="O946" s="41"/>
      <c r="P946" s="41"/>
    </row>
    <row r="947" ht="14.25" customHeight="1">
      <c r="A947" s="41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1"/>
      <c r="N947" s="41"/>
      <c r="O947" s="41"/>
      <c r="P947" s="41"/>
    </row>
    <row r="948" ht="14.25" customHeight="1">
      <c r="A948" s="41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1"/>
      <c r="N948" s="41"/>
      <c r="O948" s="41"/>
      <c r="P948" s="41"/>
    </row>
    <row r="949" ht="14.25" customHeight="1">
      <c r="A949" s="41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1"/>
      <c r="N949" s="41"/>
      <c r="O949" s="41"/>
      <c r="P949" s="41"/>
    </row>
    <row r="950" ht="14.25" customHeight="1">
      <c r="A950" s="41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1"/>
      <c r="N950" s="41"/>
      <c r="O950" s="41"/>
      <c r="P950" s="41"/>
    </row>
    <row r="951" ht="14.25" customHeight="1">
      <c r="A951" s="41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1"/>
      <c r="N951" s="41"/>
      <c r="O951" s="41"/>
      <c r="P951" s="41"/>
    </row>
    <row r="952" ht="14.25" customHeight="1">
      <c r="A952" s="41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1"/>
      <c r="N952" s="41"/>
      <c r="O952" s="41"/>
      <c r="P952" s="41"/>
    </row>
    <row r="953" ht="14.25" customHeight="1">
      <c r="A953" s="41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1"/>
      <c r="N953" s="41"/>
      <c r="O953" s="41"/>
      <c r="P953" s="41"/>
    </row>
    <row r="954" ht="14.25" customHeight="1">
      <c r="A954" s="41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1"/>
      <c r="N954" s="41"/>
      <c r="O954" s="41"/>
      <c r="P954" s="41"/>
    </row>
    <row r="955" ht="14.25" customHeight="1">
      <c r="A955" s="41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1"/>
      <c r="N955" s="41"/>
      <c r="O955" s="41"/>
      <c r="P955" s="41"/>
    </row>
    <row r="956" ht="14.25" customHeight="1">
      <c r="A956" s="41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1"/>
      <c r="N956" s="41"/>
      <c r="O956" s="41"/>
      <c r="P956" s="41"/>
    </row>
    <row r="957" ht="14.25" customHeight="1">
      <c r="A957" s="41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1"/>
      <c r="N957" s="41"/>
      <c r="O957" s="41"/>
      <c r="P957" s="41"/>
    </row>
    <row r="958" ht="14.25" customHeight="1">
      <c r="A958" s="41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1"/>
      <c r="N958" s="41"/>
      <c r="O958" s="41"/>
      <c r="P958" s="41"/>
    </row>
    <row r="959" ht="14.25" customHeight="1">
      <c r="A959" s="41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1"/>
      <c r="N959" s="41"/>
      <c r="O959" s="41"/>
      <c r="P959" s="41"/>
    </row>
    <row r="960" ht="14.25" customHeight="1">
      <c r="A960" s="41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1"/>
      <c r="N960" s="41"/>
      <c r="O960" s="41"/>
      <c r="P960" s="41"/>
    </row>
    <row r="961" ht="14.25" customHeight="1">
      <c r="A961" s="41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1"/>
      <c r="N961" s="41"/>
      <c r="O961" s="41"/>
      <c r="P961" s="41"/>
    </row>
    <row r="962" ht="14.25" customHeight="1">
      <c r="A962" s="41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1"/>
      <c r="N962" s="41"/>
      <c r="O962" s="41"/>
      <c r="P962" s="41"/>
    </row>
    <row r="963" ht="14.25" customHeight="1">
      <c r="A963" s="41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1"/>
      <c r="N963" s="41"/>
      <c r="O963" s="41"/>
      <c r="P963" s="41"/>
    </row>
    <row r="964" ht="14.25" customHeight="1">
      <c r="A964" s="41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1"/>
      <c r="N964" s="41"/>
      <c r="O964" s="41"/>
      <c r="P964" s="41"/>
    </row>
    <row r="965" ht="14.25" customHeight="1">
      <c r="A965" s="41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1"/>
      <c r="N965" s="41"/>
      <c r="O965" s="41"/>
      <c r="P965" s="41"/>
    </row>
    <row r="966" ht="14.25" customHeight="1">
      <c r="A966" s="41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1"/>
      <c r="N966" s="41"/>
      <c r="O966" s="41"/>
      <c r="P966" s="41"/>
    </row>
    <row r="967" ht="14.25" customHeight="1">
      <c r="A967" s="41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1"/>
      <c r="N967" s="41"/>
      <c r="O967" s="41"/>
      <c r="P967" s="41"/>
    </row>
    <row r="968" ht="14.25" customHeight="1">
      <c r="A968" s="41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1"/>
      <c r="N968" s="41"/>
      <c r="O968" s="41"/>
      <c r="P968" s="41"/>
    </row>
    <row r="969" ht="14.25" customHeight="1">
      <c r="A969" s="41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1"/>
      <c r="N969" s="41"/>
      <c r="O969" s="41"/>
      <c r="P969" s="41"/>
    </row>
    <row r="970" ht="14.25" customHeight="1">
      <c r="A970" s="41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1"/>
      <c r="N970" s="41"/>
      <c r="O970" s="41"/>
      <c r="P970" s="41"/>
    </row>
    <row r="971" ht="14.25" customHeight="1">
      <c r="A971" s="41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1"/>
      <c r="N971" s="41"/>
      <c r="O971" s="41"/>
      <c r="P971" s="41"/>
    </row>
    <row r="972" ht="14.25" customHeight="1">
      <c r="A972" s="41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1"/>
      <c r="N972" s="41"/>
      <c r="O972" s="41"/>
      <c r="P972" s="41"/>
    </row>
    <row r="973" ht="14.25" customHeight="1">
      <c r="A973" s="41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1"/>
      <c r="N973" s="41"/>
      <c r="O973" s="41"/>
      <c r="P973" s="41"/>
    </row>
    <row r="974" ht="14.25" customHeight="1">
      <c r="A974" s="41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1"/>
      <c r="N974" s="41"/>
      <c r="O974" s="41"/>
      <c r="P974" s="41"/>
    </row>
    <row r="975" ht="14.25" customHeight="1">
      <c r="A975" s="41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1"/>
      <c r="N975" s="41"/>
      <c r="O975" s="41"/>
      <c r="P975" s="41"/>
    </row>
    <row r="976" ht="14.25" customHeight="1">
      <c r="A976" s="41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1"/>
      <c r="N976" s="41"/>
      <c r="O976" s="41"/>
      <c r="P976" s="41"/>
    </row>
    <row r="977" ht="14.25" customHeight="1">
      <c r="A977" s="41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1"/>
      <c r="N977" s="41"/>
      <c r="O977" s="41"/>
      <c r="P977" s="41"/>
    </row>
    <row r="978" ht="14.25" customHeight="1">
      <c r="A978" s="41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1"/>
      <c r="N978" s="41"/>
      <c r="O978" s="41"/>
      <c r="P978" s="41"/>
    </row>
    <row r="979" ht="14.25" customHeight="1">
      <c r="A979" s="41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1"/>
      <c r="N979" s="41"/>
      <c r="O979" s="41"/>
      <c r="P979" s="41"/>
    </row>
    <row r="980" ht="14.25" customHeight="1">
      <c r="A980" s="41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1"/>
      <c r="N980" s="41"/>
      <c r="O980" s="41"/>
      <c r="P980" s="41"/>
    </row>
    <row r="981" ht="14.25" customHeight="1">
      <c r="A981" s="41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1"/>
      <c r="N981" s="41"/>
      <c r="O981" s="41"/>
      <c r="P981" s="41"/>
    </row>
    <row r="982" ht="14.25" customHeight="1">
      <c r="A982" s="41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1"/>
      <c r="N982" s="41"/>
      <c r="O982" s="41"/>
      <c r="P982" s="41"/>
    </row>
    <row r="983" ht="14.25" customHeight="1">
      <c r="A983" s="41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1"/>
      <c r="N983" s="41"/>
      <c r="O983" s="41"/>
      <c r="P983" s="41"/>
    </row>
    <row r="984" ht="14.25" customHeight="1">
      <c r="A984" s="41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1"/>
      <c r="N984" s="41"/>
      <c r="O984" s="41"/>
      <c r="P984" s="41"/>
    </row>
    <row r="985" ht="14.25" customHeight="1">
      <c r="A985" s="41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1"/>
      <c r="N985" s="41"/>
      <c r="O985" s="41"/>
      <c r="P985" s="41"/>
    </row>
    <row r="986" ht="14.25" customHeight="1">
      <c r="A986" s="41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1"/>
      <c r="N986" s="41"/>
      <c r="O986" s="41"/>
      <c r="P986" s="41"/>
    </row>
    <row r="987" ht="14.25" customHeight="1">
      <c r="A987" s="41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1"/>
      <c r="N987" s="41"/>
      <c r="O987" s="41"/>
      <c r="P987" s="41"/>
    </row>
    <row r="988" ht="14.25" customHeight="1">
      <c r="A988" s="41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1"/>
      <c r="N988" s="41"/>
      <c r="O988" s="41"/>
      <c r="P988" s="41"/>
    </row>
    <row r="989" ht="14.25" customHeight="1">
      <c r="A989" s="41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1"/>
      <c r="N989" s="41"/>
      <c r="O989" s="41"/>
      <c r="P989" s="41"/>
    </row>
    <row r="990" ht="14.25" customHeight="1">
      <c r="A990" s="41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1"/>
      <c r="N990" s="41"/>
      <c r="O990" s="41"/>
      <c r="P990" s="41"/>
    </row>
    <row r="991" ht="14.25" customHeight="1">
      <c r="A991" s="41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1"/>
      <c r="N991" s="41"/>
      <c r="O991" s="41"/>
      <c r="P991" s="41"/>
    </row>
    <row r="992" ht="14.25" customHeight="1">
      <c r="A992" s="41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1"/>
      <c r="N992" s="41"/>
      <c r="O992" s="41"/>
      <c r="P992" s="41"/>
    </row>
    <row r="993" ht="14.25" customHeight="1">
      <c r="A993" s="41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1"/>
      <c r="N993" s="41"/>
      <c r="O993" s="41"/>
      <c r="P993" s="41"/>
    </row>
    <row r="994" ht="14.25" customHeight="1">
      <c r="A994" s="41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1"/>
      <c r="N994" s="41"/>
      <c r="O994" s="41"/>
      <c r="P994" s="41"/>
    </row>
    <row r="995" ht="14.25" customHeight="1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1"/>
      <c r="N995" s="41"/>
      <c r="O995" s="41"/>
      <c r="P995" s="41"/>
    </row>
    <row r="996" ht="14.25" customHeight="1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1"/>
      <c r="N996" s="41"/>
      <c r="O996" s="41"/>
      <c r="P996" s="41"/>
    </row>
    <row r="997" ht="14.25" customHeight="1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1"/>
      <c r="N997" s="41"/>
      <c r="O997" s="41"/>
      <c r="P997" s="41"/>
    </row>
    <row r="998" ht="14.25" customHeight="1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1"/>
      <c r="N998" s="41"/>
      <c r="O998" s="41"/>
      <c r="P998" s="41"/>
    </row>
    <row r="999" ht="14.25" customHeight="1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1"/>
      <c r="N999" s="41"/>
      <c r="O999" s="41"/>
      <c r="P999" s="41"/>
    </row>
    <row r="1000" ht="14.25" customHeight="1">
      <c r="A1000" s="41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1"/>
      <c r="N1000" s="41"/>
      <c r="O1000" s="41"/>
      <c r="P1000" s="41"/>
    </row>
    <row r="1001" ht="14.25" customHeight="1">
      <c r="A1001" s="41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1"/>
      <c r="N1001" s="41"/>
      <c r="O1001" s="41"/>
      <c r="P1001" s="41"/>
    </row>
    <row r="1002" ht="14.25" customHeight="1">
      <c r="A1002" s="41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1"/>
      <c r="N1002" s="41"/>
      <c r="O1002" s="41"/>
      <c r="P1002" s="41"/>
    </row>
    <row r="1003" ht="14.25" customHeight="1">
      <c r="A1003" s="41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1"/>
      <c r="N1003" s="41"/>
      <c r="O1003" s="41"/>
      <c r="P1003" s="41"/>
    </row>
    <row r="1004" ht="14.25" customHeight="1">
      <c r="A1004" s="41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1"/>
      <c r="N1004" s="41"/>
      <c r="O1004" s="41"/>
      <c r="P1004" s="41"/>
    </row>
    <row r="1005" ht="14.25" customHeight="1">
      <c r="A1005" s="41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1"/>
      <c r="N1005" s="41"/>
      <c r="O1005" s="41"/>
      <c r="P1005" s="41"/>
    </row>
    <row r="1006" ht="14.25" customHeight="1">
      <c r="A1006" s="41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1"/>
      <c r="N1006" s="41"/>
      <c r="O1006" s="41"/>
      <c r="P1006" s="41"/>
    </row>
    <row r="1007" ht="14.25" customHeight="1">
      <c r="A1007" s="41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1"/>
      <c r="N1007" s="41"/>
      <c r="O1007" s="41"/>
      <c r="P1007" s="41"/>
    </row>
    <row r="1008" ht="14.25" customHeight="1">
      <c r="A1008" s="41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1"/>
      <c r="N1008" s="41"/>
      <c r="O1008" s="41"/>
      <c r="P1008" s="41"/>
    </row>
    <row r="1009" ht="14.25" customHeight="1">
      <c r="A1009" s="41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1"/>
      <c r="N1009" s="41"/>
      <c r="O1009" s="41"/>
      <c r="P1009" s="41"/>
    </row>
    <row r="1010" ht="14.25" customHeight="1">
      <c r="A1010" s="41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1"/>
      <c r="N1010" s="41"/>
      <c r="O1010" s="41"/>
      <c r="P1010" s="41"/>
    </row>
    <row r="1011" ht="14.25" customHeight="1">
      <c r="A1011" s="41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1"/>
      <c r="N1011" s="41"/>
      <c r="O1011" s="41"/>
      <c r="P1011" s="41"/>
    </row>
    <row r="1012" ht="14.25" customHeight="1">
      <c r="A1012" s="41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1"/>
      <c r="N1012" s="41"/>
      <c r="O1012" s="41"/>
      <c r="P1012" s="41"/>
    </row>
    <row r="1013" ht="14.25" customHeight="1">
      <c r="A1013" s="41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1"/>
      <c r="N1013" s="41"/>
      <c r="O1013" s="41"/>
      <c r="P1013" s="41"/>
    </row>
    <row r="1014" ht="14.25" customHeight="1">
      <c r="A1014" s="41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1"/>
      <c r="N1014" s="41"/>
      <c r="O1014" s="41"/>
      <c r="P1014" s="41"/>
    </row>
    <row r="1015" ht="14.25" customHeight="1">
      <c r="A1015" s="41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1"/>
      <c r="N1015" s="41"/>
      <c r="O1015" s="41"/>
      <c r="P1015" s="41"/>
    </row>
    <row r="1016" ht="14.25" customHeight="1">
      <c r="A1016" s="41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1"/>
      <c r="N1016" s="41"/>
      <c r="O1016" s="41"/>
      <c r="P1016" s="41"/>
    </row>
    <row r="1017" ht="14.25" customHeight="1">
      <c r="A1017" s="41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1"/>
      <c r="N1017" s="41"/>
      <c r="O1017" s="41"/>
      <c r="P1017" s="41"/>
    </row>
    <row r="1018" ht="14.25" customHeight="1">
      <c r="A1018" s="41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1"/>
      <c r="N1018" s="41"/>
      <c r="O1018" s="41"/>
      <c r="P1018" s="41"/>
    </row>
    <row r="1019" ht="14.25" customHeight="1">
      <c r="A1019" s="41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1"/>
      <c r="N1019" s="41"/>
      <c r="O1019" s="41"/>
      <c r="P1019" s="41"/>
    </row>
    <row r="1020" ht="14.25" customHeight="1">
      <c r="A1020" s="41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1"/>
      <c r="N1020" s="41"/>
      <c r="O1020" s="41"/>
      <c r="P1020" s="41"/>
    </row>
    <row r="1021" ht="14.25" customHeight="1">
      <c r="A1021" s="41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1"/>
      <c r="N1021" s="41"/>
      <c r="O1021" s="41"/>
      <c r="P1021" s="41"/>
    </row>
    <row r="1022" ht="14.25" customHeight="1">
      <c r="A1022" s="41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1"/>
      <c r="N1022" s="41"/>
      <c r="O1022" s="41"/>
      <c r="P1022" s="41"/>
    </row>
    <row r="1023" ht="14.25" customHeight="1">
      <c r="A1023" s="41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1"/>
      <c r="N1023" s="41"/>
      <c r="O1023" s="41"/>
      <c r="P1023" s="41"/>
    </row>
    <row r="1024" ht="14.25" customHeight="1">
      <c r="A1024" s="41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1"/>
      <c r="N1024" s="41"/>
      <c r="O1024" s="41"/>
      <c r="P1024" s="41"/>
    </row>
    <row r="1025" ht="14.25" customHeight="1">
      <c r="A1025" s="41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1"/>
      <c r="N1025" s="41"/>
      <c r="O1025" s="41"/>
      <c r="P1025" s="41"/>
    </row>
    <row r="1026" ht="14.25" customHeight="1">
      <c r="A1026" s="41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1"/>
      <c r="N1026" s="41"/>
      <c r="O1026" s="41"/>
      <c r="P1026" s="41"/>
    </row>
    <row r="1027" ht="14.25" customHeight="1">
      <c r="A1027" s="41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1"/>
      <c r="N1027" s="41"/>
      <c r="O1027" s="41"/>
      <c r="P1027" s="41"/>
    </row>
    <row r="1028" ht="14.25" customHeight="1">
      <c r="A1028" s="41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1"/>
      <c r="N1028" s="41"/>
      <c r="O1028" s="41"/>
      <c r="P1028" s="41"/>
    </row>
    <row r="1029" ht="14.25" customHeight="1">
      <c r="A1029" s="41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1"/>
      <c r="N1029" s="41"/>
      <c r="O1029" s="41"/>
      <c r="P1029" s="41"/>
    </row>
  </sheetData>
  <mergeCells count="48">
    <mergeCell ref="C2:E2"/>
    <mergeCell ref="H2:J2"/>
    <mergeCell ref="C25:E25"/>
    <mergeCell ref="H25:J25"/>
    <mergeCell ref="C48:E48"/>
    <mergeCell ref="H48:J48"/>
    <mergeCell ref="H49:J49"/>
    <mergeCell ref="C49:E49"/>
    <mergeCell ref="C50:E50"/>
    <mergeCell ref="C51:E51"/>
    <mergeCell ref="C52:E52"/>
    <mergeCell ref="C53:E53"/>
    <mergeCell ref="C54:E54"/>
    <mergeCell ref="C55:E55"/>
    <mergeCell ref="H50:J50"/>
    <mergeCell ref="H51:J51"/>
    <mergeCell ref="H52:J52"/>
    <mergeCell ref="H53:J53"/>
    <mergeCell ref="H54:J54"/>
    <mergeCell ref="H55:J55"/>
    <mergeCell ref="H56:J56"/>
    <mergeCell ref="C63:E63"/>
    <mergeCell ref="C64:E64"/>
    <mergeCell ref="C65:E65"/>
    <mergeCell ref="C66:E66"/>
    <mergeCell ref="C67:E67"/>
    <mergeCell ref="C68:E68"/>
    <mergeCell ref="C69:E69"/>
    <mergeCell ref="C56:E56"/>
    <mergeCell ref="C57:E57"/>
    <mergeCell ref="C58:E58"/>
    <mergeCell ref="C59:E59"/>
    <mergeCell ref="C60:E60"/>
    <mergeCell ref="C61:E61"/>
    <mergeCell ref="C62:E62"/>
    <mergeCell ref="H64:J64"/>
    <mergeCell ref="H65:J65"/>
    <mergeCell ref="H66:J66"/>
    <mergeCell ref="H67:J67"/>
    <mergeCell ref="H68:J68"/>
    <mergeCell ref="H69:J69"/>
    <mergeCell ref="H57:J57"/>
    <mergeCell ref="H58:J58"/>
    <mergeCell ref="H59:J59"/>
    <mergeCell ref="H60:J60"/>
    <mergeCell ref="H61:J61"/>
    <mergeCell ref="H62:J62"/>
    <mergeCell ref="H63:J63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Col="1"/>
  <cols>
    <col customWidth="1" min="1" max="1" width="6.88"/>
    <col customWidth="1" min="2" max="2" width="14.88"/>
    <col customWidth="1" min="3" max="3" width="12.38"/>
    <col customWidth="1" min="4" max="4" width="3.63"/>
    <col customWidth="1" min="5" max="5" width="15.63"/>
    <col customWidth="1" min="6" max="6" width="12.25" outlineLevel="1"/>
    <col customWidth="1" min="7" max="7" width="19.0" outlineLevel="1"/>
    <col customWidth="1" min="8" max="8" width="10.88"/>
    <col customWidth="1" min="9" max="9" width="13.75"/>
    <col customWidth="1" min="10" max="10" width="13.38"/>
    <col customWidth="1" min="11" max="12" width="8.0"/>
    <col customWidth="1" min="13" max="13" width="11.0"/>
    <col customWidth="1" min="14" max="26" width="8.0"/>
  </cols>
  <sheetData>
    <row r="1" ht="14.25" customHeight="1">
      <c r="A1" s="41"/>
      <c r="B1" s="40"/>
      <c r="C1" s="40"/>
      <c r="D1" s="40"/>
      <c r="E1" s="40"/>
      <c r="F1" s="40"/>
      <c r="G1" s="40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4.25" customHeight="1">
      <c r="A2" s="41"/>
      <c r="B2" s="1"/>
      <c r="C2" s="77" t="s">
        <v>138</v>
      </c>
      <c r="D2" s="78" t="s">
        <v>98</v>
      </c>
      <c r="E2" s="79" t="s">
        <v>139</v>
      </c>
      <c r="F2" s="48" t="s">
        <v>88</v>
      </c>
      <c r="G2" s="48" t="s">
        <v>89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4.25" customHeight="1">
      <c r="A3" s="41"/>
      <c r="B3" s="51" t="s">
        <v>9</v>
      </c>
      <c r="C3" s="48">
        <f>VLOOKUP($B3,Form_FINAL!$C$2:$F$81,2,FALSE)</f>
        <v>2</v>
      </c>
      <c r="D3" s="48" t="s">
        <v>98</v>
      </c>
      <c r="E3" s="48">
        <f>VLOOKUP($B3,Form_FINAL!$C$2:$F$81,3,FALSE)</f>
        <v>1</v>
      </c>
      <c r="F3" s="80" t="str">
        <f t="shared" ref="F3:F24" si="1">IF(C3&gt;E3,"casa",IF(C3=E3,"empate","visita"))</f>
        <v>casa</v>
      </c>
      <c r="G3" s="48">
        <f>IF(C3=C$24,IF(E$24=E3,Pesos!$Q$6,IF(F3=F$24,Pesos!$Q$3,0)),IF(F3=F$24,Pesos!$Q$3,0))*IF(COUNTIF($F$3:$F$23,F3)=1,2,1)</f>
        <v>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4.25" customHeight="1">
      <c r="A4" s="41"/>
      <c r="B4" s="51" t="s">
        <v>10</v>
      </c>
      <c r="C4" s="48">
        <f>VLOOKUP($B4,Form_FINAL!$C$2:$F$81,2,FALSE)</f>
        <v>2</v>
      </c>
      <c r="D4" s="48" t="s">
        <v>98</v>
      </c>
      <c r="E4" s="48">
        <f>VLOOKUP($B4,Form_FINAL!$C$2:$F$81,3,FALSE)</f>
        <v>1</v>
      </c>
      <c r="F4" s="80" t="str">
        <f t="shared" si="1"/>
        <v>casa</v>
      </c>
      <c r="G4" s="48">
        <f>IF(C4=C$24,IF(E$24=E4,Pesos!$Q$6,IF(F4=F$24,Pesos!$Q$3,0)),IF(F4=F$24,Pesos!$Q$3,0))*IF(COUNTIF($F$3:$F$23,F4)=1,2,1)</f>
        <v>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4.25" customHeight="1">
      <c r="A5" s="41"/>
      <c r="B5" s="51" t="s">
        <v>17</v>
      </c>
      <c r="C5" s="48">
        <f>VLOOKUP($B5,Form_FINAL!$C$2:$F$81,2,FALSE)</f>
        <v>2</v>
      </c>
      <c r="D5" s="48" t="s">
        <v>98</v>
      </c>
      <c r="E5" s="48">
        <f>VLOOKUP($B5,Form_FINAL!$C$2:$F$81,3,FALSE)</f>
        <v>3</v>
      </c>
      <c r="F5" s="80" t="str">
        <f t="shared" si="1"/>
        <v>visita</v>
      </c>
      <c r="G5" s="48">
        <f>IF(C5=C$24,IF(E$24=E5,Pesos!$Q$6,IF(F5=F$24,Pesos!$Q$3,0)),IF(F5=F$24,Pesos!$Q$3,0))*IF(COUNTIF($F$3:$F$23,F5)=1,2,1)</f>
        <v>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4.25" customHeight="1">
      <c r="A6" s="41"/>
      <c r="B6" s="51" t="s">
        <v>3</v>
      </c>
      <c r="C6" s="48">
        <f>VLOOKUP($B6,Form_FINAL!$C$2:$F$81,2,FALSE)</f>
        <v>2</v>
      </c>
      <c r="D6" s="48" t="s">
        <v>98</v>
      </c>
      <c r="E6" s="48">
        <f>VLOOKUP($B6,Form_FINAL!$C$2:$F$81,3,FALSE)</f>
        <v>1</v>
      </c>
      <c r="F6" s="80" t="str">
        <f t="shared" si="1"/>
        <v>casa</v>
      </c>
      <c r="G6" s="48">
        <f>IF(C6=C$24,IF(E$24=E6,Pesos!$Q$6,IF(F6=F$24,Pesos!$Q$3,0)),IF(F6=F$24,Pesos!$Q$3,0))*IF(COUNTIF($F$3:$F$23,F6)=1,2,1)</f>
        <v>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4.25" customHeight="1">
      <c r="A7" s="41"/>
      <c r="B7" s="51" t="s">
        <v>13</v>
      </c>
      <c r="C7" s="48">
        <f>VLOOKUP($B7,Form_FINAL!$C$2:$F$81,2,FALSE)</f>
        <v>1</v>
      </c>
      <c r="D7" s="48" t="s">
        <v>98</v>
      </c>
      <c r="E7" s="48">
        <f>VLOOKUP($B7,Form_FINAL!$C$2:$F$81,3,FALSE)</f>
        <v>2</v>
      </c>
      <c r="F7" s="80" t="str">
        <f t="shared" si="1"/>
        <v>visita</v>
      </c>
      <c r="G7" s="48">
        <f>IF(C7=C$24,IF(E$24=E7,Pesos!$Q$6,IF(F7=F$24,Pesos!$Q$3,0)),IF(F7=F$24,Pesos!$Q$3,0))*IF(COUNTIF($F$3:$F$23,F7)=1,2,1)</f>
        <v>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4.25" customHeight="1">
      <c r="A8" s="41"/>
      <c r="B8" s="51" t="s">
        <v>14</v>
      </c>
      <c r="C8" s="48">
        <f>VLOOKUP($B8,Form_FINAL!$C$2:$F$81,2,FALSE)</f>
        <v>0</v>
      </c>
      <c r="D8" s="48" t="s">
        <v>98</v>
      </c>
      <c r="E8" s="48">
        <f>VLOOKUP($B8,Form_FINAL!$C$2:$F$81,3,FALSE)</f>
        <v>1</v>
      </c>
      <c r="F8" s="80" t="str">
        <f t="shared" si="1"/>
        <v>visita</v>
      </c>
      <c r="G8" s="48">
        <f>IF(C8=C$24,IF(E$24=E8,Pesos!$Q$6,IF(F8=F$24,Pesos!$Q$3,0)),IF(F8=F$24,Pesos!$Q$3,0))*IF(COUNTIF($F$3:$F$23,F8)=1,2,1)</f>
        <v>0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4.25" customHeight="1">
      <c r="A9" s="41"/>
      <c r="B9" s="51" t="s">
        <v>6</v>
      </c>
      <c r="C9" s="48">
        <f>VLOOKUP($B9,Form_FINAL!$C$2:$F$81,2,FALSE)</f>
        <v>1</v>
      </c>
      <c r="D9" s="48" t="s">
        <v>98</v>
      </c>
      <c r="E9" s="48">
        <f>VLOOKUP($B9,Form_FINAL!$C$2:$F$81,3,FALSE)</f>
        <v>3</v>
      </c>
      <c r="F9" s="80" t="str">
        <f t="shared" si="1"/>
        <v>visita</v>
      </c>
      <c r="G9" s="48">
        <f>IF(C9=C$24,IF(E$24=E9,Pesos!$Q$6,IF(F9=F$24,Pesos!$Q$3,0)),IF(F9=F$24,Pesos!$Q$3,0))*IF(COUNTIF($F$3:$F$23,F9)=1,2,1)</f>
        <v>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4.25" customHeight="1">
      <c r="A10" s="41"/>
      <c r="B10" s="52" t="s">
        <v>5</v>
      </c>
      <c r="C10" s="48">
        <f>VLOOKUP($B10,Form_FINAL!$C$2:$F$81,2,FALSE)</f>
        <v>1</v>
      </c>
      <c r="D10" s="48" t="s">
        <v>98</v>
      </c>
      <c r="E10" s="48">
        <f>VLOOKUP($B10,Form_FINAL!$C$2:$F$81,3,FALSE)</f>
        <v>2</v>
      </c>
      <c r="F10" s="80" t="str">
        <f t="shared" si="1"/>
        <v>visita</v>
      </c>
      <c r="G10" s="48">
        <f>IF(C10=C$24,IF(E$24=E10,Pesos!$Q$6,IF(F10=F$24,Pesos!$Q$3,0)),IF(F10=F$24,Pesos!$Q$3,0))*IF(COUNTIF($F$3:$F$23,F10)=1,2,1)</f>
        <v>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4.25" customHeight="1">
      <c r="A11" s="41"/>
      <c r="B11" s="51" t="s">
        <v>4</v>
      </c>
      <c r="C11" s="48">
        <f>VLOOKUP($B11,Form_FINAL!$C$2:$F$81,2,FALSE)</f>
        <v>3</v>
      </c>
      <c r="D11" s="48" t="s">
        <v>98</v>
      </c>
      <c r="E11" s="48">
        <f>VLOOKUP($B11,Form_FINAL!$C$2:$F$81,3,FALSE)</f>
        <v>0</v>
      </c>
      <c r="F11" s="80" t="str">
        <f t="shared" si="1"/>
        <v>casa</v>
      </c>
      <c r="G11" s="48">
        <f>IF(C11=C$24,IF(E$24=E11,Pesos!$Q$6,IF(F11=F$24,Pesos!$Q$3,0)),IF(F11=F$24,Pesos!$Q$3,0))*IF(COUNTIF($F$3:$F$23,F11)=1,2,1)</f>
        <v>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4.25" customHeight="1">
      <c r="A12" s="41"/>
      <c r="B12" s="51" t="s">
        <v>18</v>
      </c>
      <c r="C12" s="48">
        <f>VLOOKUP($B12,Form_FINAL!$C$2:$F$81,2,FALSE)</f>
        <v>1</v>
      </c>
      <c r="D12" s="48" t="s">
        <v>98</v>
      </c>
      <c r="E12" s="48">
        <f>VLOOKUP($B12,Form_FINAL!$C$2:$F$81,3,FALSE)</f>
        <v>0</v>
      </c>
      <c r="F12" s="80" t="str">
        <f t="shared" si="1"/>
        <v>casa</v>
      </c>
      <c r="G12" s="48">
        <f>IF(C12=C$24,IF(E$24=E12,Pesos!$Q$6,IF(F12=F$24,Pesos!$Q$3,0)),IF(F12=F$24,Pesos!$Q$3,0))*IF(COUNTIF($F$3:$F$23,F12)=1,2,1)</f>
        <v>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4.25" customHeight="1">
      <c r="A13" s="41"/>
      <c r="B13" s="51" t="s">
        <v>2</v>
      </c>
      <c r="C13" s="48">
        <f>VLOOKUP($B13,Form_FINAL!$C$2:$F$81,2,FALSE)</f>
        <v>0</v>
      </c>
      <c r="D13" s="48" t="s">
        <v>98</v>
      </c>
      <c r="E13" s="48">
        <f>VLOOKUP($B13,Form_FINAL!$C$2:$F$81,3,FALSE)</f>
        <v>1</v>
      </c>
      <c r="F13" s="80" t="str">
        <f t="shared" si="1"/>
        <v>visita</v>
      </c>
      <c r="G13" s="48">
        <f>IF(C13=C$24,IF(E$24=E13,Pesos!$Q$6,IF(F13=F$24,Pesos!$Q$3,0)),IF(F13=F$24,Pesos!$Q$3,0))*IF(COUNTIF($F$3:$F$23,F13)=1,2,1)</f>
        <v>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4.25" customHeight="1">
      <c r="A14" s="41"/>
      <c r="B14" s="51" t="s">
        <v>15</v>
      </c>
      <c r="C14" s="48">
        <f>VLOOKUP($B14,Form_FINAL!$C$2:$F$81,2,FALSE)</f>
        <v>1</v>
      </c>
      <c r="D14" s="48" t="s">
        <v>98</v>
      </c>
      <c r="E14" s="48">
        <f>VLOOKUP($B14,Form_FINAL!$C$2:$F$81,3,FALSE)</f>
        <v>2</v>
      </c>
      <c r="F14" s="80" t="str">
        <f t="shared" si="1"/>
        <v>visita</v>
      </c>
      <c r="G14" s="48">
        <f>IF(C14=C$24,IF(E$24=E14,Pesos!$Q$6,IF(F14=F$24,Pesos!$Q$3,0)),IF(F14=F$24,Pesos!$Q$3,0))*IF(COUNTIF($F$3:$F$23,F14)=1,2,1)</f>
        <v>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4.25" customHeight="1">
      <c r="A15" s="41"/>
      <c r="B15" s="51" t="s">
        <v>12</v>
      </c>
      <c r="C15" s="48">
        <f>VLOOKUP($B15,Form_FINAL!$C$2:$F$81,2,FALSE)</f>
        <v>2</v>
      </c>
      <c r="D15" s="48" t="s">
        <v>98</v>
      </c>
      <c r="E15" s="48">
        <f>VLOOKUP($B15,Form_FINAL!$C$2:$F$81,3,FALSE)</f>
        <v>1</v>
      </c>
      <c r="F15" s="80" t="str">
        <f t="shared" si="1"/>
        <v>casa</v>
      </c>
      <c r="G15" s="48">
        <f>IF(C15=C$24,IF(E$24=E15,Pesos!$Q$6,IF(F15=F$24,Pesos!$Q$3,0)),IF(F15=F$24,Pesos!$Q$3,0))*IF(COUNTIF($F$3:$F$23,F15)=1,2,1)</f>
        <v>0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4.25" customHeight="1">
      <c r="A16" s="41"/>
      <c r="B16" s="51" t="s">
        <v>8</v>
      </c>
      <c r="C16" s="48">
        <f>VLOOKUP($B16,Form_FINAL!$C$2:$F$81,2,FALSE)</f>
        <v>3</v>
      </c>
      <c r="D16" s="48" t="s">
        <v>98</v>
      </c>
      <c r="E16" s="48">
        <f>VLOOKUP($B16,Form_FINAL!$C$2:$F$81,3,FALSE)</f>
        <v>2</v>
      </c>
      <c r="F16" s="80" t="str">
        <f t="shared" si="1"/>
        <v>casa</v>
      </c>
      <c r="G16" s="48">
        <f>IF(C16=C$24,IF(E$24=E16,Pesos!$Q$6,IF(F16=F$24,Pesos!$Q$3,0)),IF(F16=F$24,Pesos!$Q$3,0))*IF(COUNTIF($F$3:$F$23,F16)=1,2,1)</f>
        <v>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4.25" customHeight="1">
      <c r="A17" s="41"/>
      <c r="B17" s="51" t="s">
        <v>16</v>
      </c>
      <c r="C17" s="57">
        <v>0.0</v>
      </c>
      <c r="D17" s="48" t="s">
        <v>98</v>
      </c>
      <c r="E17" s="57">
        <v>2.0</v>
      </c>
      <c r="F17" s="80" t="str">
        <f t="shared" si="1"/>
        <v>visita</v>
      </c>
      <c r="G17" s="48">
        <f>IF(C17=C$24,IF(E$24=E17,Pesos!$Q$6,IF(F17=F$24,Pesos!$Q$3,0)),IF(F17=F$24,Pesos!$Q$3,0))*IF(COUNTIF($F$3:$F$23,F17)=1,2,1)</f>
        <v>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4.25" customHeight="1">
      <c r="A18" s="41"/>
      <c r="B18" s="51" t="s">
        <v>11</v>
      </c>
      <c r="C18" s="48">
        <f>VLOOKUP($B18,Form_FINAL!$C$2:$F$81,2,FALSE)</f>
        <v>3</v>
      </c>
      <c r="D18" s="48" t="s">
        <v>98</v>
      </c>
      <c r="E18" s="48">
        <f>VLOOKUP($B18,Form_FINAL!$C$2:$F$81,3,FALSE)</f>
        <v>2</v>
      </c>
      <c r="F18" s="80" t="str">
        <f t="shared" si="1"/>
        <v>casa</v>
      </c>
      <c r="G18" s="48">
        <f>IF(C18=C$24,IF(E$24=E18,Pesos!$Q$6,IF(F18=F$24,Pesos!$Q$3,0)),IF(F18=F$24,Pesos!$Q$3,0))*IF(COUNTIF($F$3:$F$23,F18)=1,2,1)</f>
        <v>0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4.25" customHeight="1">
      <c r="A19" s="41"/>
      <c r="B19" s="51" t="s">
        <v>7</v>
      </c>
      <c r="C19" s="48">
        <f>VLOOKUP($B19,Form_FINAL!$C$2:$F$81,2,FALSE)</f>
        <v>2</v>
      </c>
      <c r="D19" s="57" t="s">
        <v>98</v>
      </c>
      <c r="E19" s="48">
        <f>VLOOKUP($B19,Form_FINAL!$C$2:$F$81,3,FALSE)</f>
        <v>1</v>
      </c>
      <c r="F19" s="80" t="str">
        <f t="shared" si="1"/>
        <v>casa</v>
      </c>
      <c r="G19" s="48">
        <f>IF(C19=C$24,IF(E$24=E19,Pesos!$Q$6,IF(F19=F$24,Pesos!$Q$3,0)),IF(F19=F$24,Pesos!$Q$3,0))*IF(COUNTIF($F$3:$F$23,F19)=1,2,1)</f>
        <v>0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4.25" customHeight="1">
      <c r="A20" s="56"/>
      <c r="B20" s="51" t="s">
        <v>19</v>
      </c>
      <c r="C20" s="48">
        <f>VLOOKUP($B20,Form_FINAL!$C$2:$F$81,2,FALSE)</f>
        <v>3</v>
      </c>
      <c r="D20" s="57" t="s">
        <v>98</v>
      </c>
      <c r="E20" s="48">
        <f>VLOOKUP($B20,Form_FINAL!$C$2:$F$81,3,FALSE)</f>
        <v>1</v>
      </c>
      <c r="F20" s="80" t="str">
        <f t="shared" si="1"/>
        <v>casa</v>
      </c>
      <c r="G20" s="48">
        <f>IF(C20=C$24,IF(E$24=E20,Pesos!$Q$6,IF(F20=F$24,Pesos!$Q$3,0)),IF(F20=F$24,Pesos!$Q$3,0))*IF(COUNTIF($F$3:$F$23,F20)=1,2,1)</f>
        <v>0</v>
      </c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6"/>
      <c r="B21" s="52" t="s">
        <v>20</v>
      </c>
      <c r="C21" s="48">
        <f>VLOOKUP($B21,Form_FINAL!$C$2:$F$81,2,FALSE)</f>
        <v>3</v>
      </c>
      <c r="D21" s="57" t="s">
        <v>98</v>
      </c>
      <c r="E21" s="48">
        <f>VLOOKUP($B21,Form_FINAL!$C$2:$F$81,3,FALSE)</f>
        <v>2</v>
      </c>
      <c r="F21" s="80" t="str">
        <f t="shared" si="1"/>
        <v>casa</v>
      </c>
      <c r="G21" s="48">
        <f>IF(C21=C$24,IF(E$24=E21,Pesos!$Q$6,IF(F21=F$24,Pesos!$Q$3,0)),IF(F21=F$24,Pesos!$Q$3,0))*IF(COUNTIF($F$3:$F$23,F21)=1,2,1)</f>
        <v>0</v>
      </c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6"/>
      <c r="B22" s="52" t="s">
        <v>21</v>
      </c>
      <c r="C22" s="48">
        <f>VLOOKUP($B22,Form_FINAL!$C$2:$F$81,2,FALSE)</f>
        <v>1</v>
      </c>
      <c r="D22" s="57" t="s">
        <v>98</v>
      </c>
      <c r="E22" s="48">
        <f>VLOOKUP($B22,Form_FINAL!$C$2:$F$81,3,FALSE)</f>
        <v>3</v>
      </c>
      <c r="F22" s="80" t="str">
        <f t="shared" si="1"/>
        <v>visita</v>
      </c>
      <c r="G22" s="48">
        <f>IF(C22=C$24,IF(E$24=E22,Pesos!$Q$6,IF(F22=F$24,Pesos!$Q$3,0)),IF(F22=F$24,Pesos!$Q$3,0))*IF(COUNTIF($F$3:$F$23,F22)=1,2,1)</f>
        <v>0</v>
      </c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6"/>
      <c r="B23" s="52" t="s">
        <v>22</v>
      </c>
      <c r="C23" s="48" t="str">
        <f>VLOOKUP($B23,Form_FINAL!$C$2:$F$81,2,FALSE)</f>
        <v>#N/A</v>
      </c>
      <c r="D23" s="57" t="s">
        <v>98</v>
      </c>
      <c r="E23" s="48" t="str">
        <f>VLOOKUP($B23,Form_FINAL!$C$2:$F$81,3,FALSE)</f>
        <v>#N/A</v>
      </c>
      <c r="F23" s="80" t="str">
        <f t="shared" si="1"/>
        <v>#N/A</v>
      </c>
      <c r="G23" s="48" t="str">
        <f>IF(C23=C$24,IF(E$24=E23,Pesos!$Q$6,IF(F23=F$24,Pesos!$Q$3,0)),IF(F23=F$24,Pesos!$Q$3,0))*IF(COUNTIF($F$3:$F$23,F23)=1,2,1)</f>
        <v>#N/A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6"/>
      <c r="B24" s="58" t="s">
        <v>1</v>
      </c>
      <c r="C24" s="54"/>
      <c r="D24" s="54" t="s">
        <v>98</v>
      </c>
      <c r="E24" s="54"/>
      <c r="F24" s="80" t="str">
        <f t="shared" si="1"/>
        <v>empate</v>
      </c>
      <c r="G24" s="48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7.5" customHeight="1">
      <c r="A25" s="41"/>
      <c r="B25" s="40"/>
      <c r="C25" s="40"/>
      <c r="D25" s="40"/>
      <c r="E25" s="40"/>
      <c r="F25" s="40"/>
      <c r="G25" s="40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4.25" customHeight="1">
      <c r="A26" s="41"/>
      <c r="B26" s="1"/>
      <c r="C26" s="42" t="s">
        <v>140</v>
      </c>
      <c r="D26" s="43"/>
      <c r="E26" s="81"/>
      <c r="F26" s="48"/>
      <c r="G26" s="48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4.25" customHeight="1">
      <c r="A27" s="41"/>
      <c r="B27" s="51" t="s">
        <v>9</v>
      </c>
      <c r="C27" s="82" t="str">
        <f>VLOOKUP($B27,Form_FINAL!$C$2:$F$81,4,FALSE)</f>
        <v>Paris</v>
      </c>
      <c r="D27" s="61"/>
      <c r="E27" s="62"/>
      <c r="F27" s="47"/>
      <c r="G27" s="48">
        <f>IF(C27=C$48,Pesos!$Q$4,0)*IF(COUNTIF($C$27:$E$47,C27)=1,2,1)</f>
        <v>0</v>
      </c>
      <c r="H27" s="40" t="str">
        <f t="shared" ref="H27:H47" si="2">IF(F3="CASA", $C$2,IF(F3="empate","!!!",$E$2))</f>
        <v>Paris</v>
      </c>
      <c r="I27" s="41" t="b">
        <f t="shared" ref="I27:I47" si="3">H27=C27</f>
        <v>1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4.25" customHeight="1">
      <c r="A28" s="41"/>
      <c r="B28" s="51" t="s">
        <v>10</v>
      </c>
      <c r="C28" s="82" t="str">
        <f>VLOOKUP($B28,Form_FINAL!$C$2:$F$81,4,FALSE)</f>
        <v>Paris</v>
      </c>
      <c r="D28" s="61"/>
      <c r="E28" s="62"/>
      <c r="F28" s="47"/>
      <c r="G28" s="48">
        <f>IF(C28=C$48,Pesos!$Q$4,0)*IF(COUNTIF($C$27:$E$47,C28)=1,2,1)</f>
        <v>0</v>
      </c>
      <c r="H28" s="40" t="str">
        <f t="shared" si="2"/>
        <v>Paris</v>
      </c>
      <c r="I28" s="41" t="b">
        <f t="shared" si="3"/>
        <v>1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4.25" customHeight="1">
      <c r="A29" s="41"/>
      <c r="B29" s="51" t="s">
        <v>17</v>
      </c>
      <c r="C29" s="82" t="str">
        <f>VLOOKUP($B29,Form_FINAL!$C$2:$F$81,4,FALSE)</f>
        <v>Inter</v>
      </c>
      <c r="D29" s="61"/>
      <c r="E29" s="62"/>
      <c r="F29" s="47"/>
      <c r="G29" s="48">
        <f>IF(C29=C$48,Pesos!$Q$4,0)*IF(COUNTIF($C$27:$E$47,C29)=1,2,1)</f>
        <v>0</v>
      </c>
      <c r="H29" s="40" t="str">
        <f t="shared" si="2"/>
        <v>Inter</v>
      </c>
      <c r="I29" s="41" t="b">
        <f t="shared" si="3"/>
        <v>1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41"/>
      <c r="B30" s="51" t="s">
        <v>3</v>
      </c>
      <c r="C30" s="82" t="str">
        <f>VLOOKUP($B30,Form_FINAL!$C$2:$F$81,4,FALSE)</f>
        <v>Paris</v>
      </c>
      <c r="D30" s="61"/>
      <c r="E30" s="62"/>
      <c r="F30" s="47"/>
      <c r="G30" s="48">
        <f>IF(C30=C$48,Pesos!$Q$4,0)*IF(COUNTIF($C$27:$E$47,C30)=1,2,1)</f>
        <v>0</v>
      </c>
      <c r="H30" s="40" t="str">
        <f t="shared" si="2"/>
        <v>Paris</v>
      </c>
      <c r="I30" s="41" t="b">
        <f t="shared" si="3"/>
        <v>1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4.25" customHeight="1">
      <c r="A31" s="41"/>
      <c r="B31" s="51" t="s">
        <v>13</v>
      </c>
      <c r="C31" s="82" t="str">
        <f>VLOOKUP($B31,Form_FINAL!$C$2:$F$81,4,FALSE)</f>
        <v>Inter</v>
      </c>
      <c r="D31" s="61"/>
      <c r="E31" s="62"/>
      <c r="F31" s="9"/>
      <c r="G31" s="48">
        <f>IF(C31=C$48,Pesos!$Q$4,0)*IF(COUNTIF($C$27:$E$47,C31)=1,2,1)</f>
        <v>0</v>
      </c>
      <c r="H31" s="40" t="str">
        <f t="shared" si="2"/>
        <v>Inter</v>
      </c>
      <c r="I31" s="41" t="b">
        <f t="shared" si="3"/>
        <v>1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4.25" customHeight="1">
      <c r="A32" s="41"/>
      <c r="B32" s="51" t="s">
        <v>14</v>
      </c>
      <c r="C32" s="82" t="str">
        <f>VLOOKUP($B32,Form_FINAL!$C$2:$F$81,4,FALSE)</f>
        <v>Inter</v>
      </c>
      <c r="D32" s="61"/>
      <c r="E32" s="62"/>
      <c r="F32" s="47"/>
      <c r="G32" s="48">
        <f>IF(C32=C$48,Pesos!$Q$4,0)*IF(COUNTIF($C$27:$E$47,C32)=1,2,1)</f>
        <v>0</v>
      </c>
      <c r="H32" s="40" t="str">
        <f t="shared" si="2"/>
        <v>Inter</v>
      </c>
      <c r="I32" s="41" t="b">
        <f t="shared" si="3"/>
        <v>1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4.25" customHeight="1">
      <c r="A33" s="41"/>
      <c r="B33" s="51" t="s">
        <v>6</v>
      </c>
      <c r="C33" s="82" t="str">
        <f>VLOOKUP($B33,Form_FINAL!$C$2:$F$81,4,FALSE)</f>
        <v>Inter</v>
      </c>
      <c r="D33" s="61"/>
      <c r="E33" s="62"/>
      <c r="F33" s="48"/>
      <c r="G33" s="48">
        <f>IF(C33=C$48,Pesos!$Q$4,0)*IF(COUNTIF($C$27:$E$47,C33)=1,2,1)</f>
        <v>0</v>
      </c>
      <c r="H33" s="40" t="str">
        <f t="shared" si="2"/>
        <v>Inter</v>
      </c>
      <c r="I33" s="41" t="b">
        <f t="shared" si="3"/>
        <v>1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4.25" customHeight="1">
      <c r="A34" s="41"/>
      <c r="B34" s="52" t="s">
        <v>5</v>
      </c>
      <c r="C34" s="82" t="str">
        <f>VLOOKUP($B34,Form_FINAL!$C$2:$F$81,4,FALSE)</f>
        <v>Inter</v>
      </c>
      <c r="D34" s="61"/>
      <c r="E34" s="62"/>
      <c r="F34" s="47"/>
      <c r="G34" s="48">
        <f>IF(C34=C$48,Pesos!$Q$4,0)*IF(COUNTIF($C$27:$E$47,C34)=1,2,1)</f>
        <v>0</v>
      </c>
      <c r="H34" s="40" t="str">
        <f t="shared" si="2"/>
        <v>Inter</v>
      </c>
      <c r="I34" s="41" t="b">
        <f t="shared" si="3"/>
        <v>1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41"/>
      <c r="B35" s="51" t="s">
        <v>4</v>
      </c>
      <c r="C35" s="82" t="str">
        <f>VLOOKUP($B35,Form_FINAL!$C$2:$F$81,4,FALSE)</f>
        <v>Paris</v>
      </c>
      <c r="D35" s="61"/>
      <c r="E35" s="62"/>
      <c r="F35" s="47"/>
      <c r="G35" s="48">
        <f>IF(C35=C$48,Pesos!$Q$4,0)*IF(COUNTIF($C$27:$E$47,C35)=1,2,1)</f>
        <v>0</v>
      </c>
      <c r="H35" s="40" t="str">
        <f t="shared" si="2"/>
        <v>Paris</v>
      </c>
      <c r="I35" s="41" t="b">
        <f t="shared" si="3"/>
        <v>1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4.25" customHeight="1">
      <c r="A36" s="41"/>
      <c r="B36" s="51" t="s">
        <v>18</v>
      </c>
      <c r="C36" s="82" t="str">
        <f>VLOOKUP($B36,Form_FINAL!$C$2:$F$81,4,FALSE)</f>
        <v>Paris</v>
      </c>
      <c r="D36" s="61"/>
      <c r="E36" s="62"/>
      <c r="F36" s="47"/>
      <c r="G36" s="48">
        <f>IF(C36=C$48,Pesos!$Q$4,0)*IF(COUNTIF($C$27:$E$47,C36)=1,2,1)</f>
        <v>0</v>
      </c>
      <c r="H36" s="40" t="str">
        <f t="shared" si="2"/>
        <v>Paris</v>
      </c>
      <c r="I36" s="41" t="b">
        <f t="shared" si="3"/>
        <v>1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4.25" customHeight="1">
      <c r="A37" s="41"/>
      <c r="B37" s="51" t="s">
        <v>2</v>
      </c>
      <c r="C37" s="82" t="str">
        <f>VLOOKUP($B37,Form_FINAL!$C$2:$F$81,4,FALSE)</f>
        <v>Inter</v>
      </c>
      <c r="D37" s="61"/>
      <c r="E37" s="62"/>
      <c r="F37" s="47"/>
      <c r="G37" s="48">
        <f>IF(C37=C$48,Pesos!$Q$4,0)*IF(COUNTIF($C$27:$E$47,C37)=1,2,1)</f>
        <v>0</v>
      </c>
      <c r="H37" s="40" t="str">
        <f t="shared" si="2"/>
        <v>Inter</v>
      </c>
      <c r="I37" s="41" t="b">
        <f t="shared" si="3"/>
        <v>1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4.25" customHeight="1">
      <c r="A38" s="41"/>
      <c r="B38" s="51" t="s">
        <v>15</v>
      </c>
      <c r="C38" s="82" t="str">
        <f>VLOOKUP($B38,Form_FINAL!$C$2:$F$81,4,FALSE)</f>
        <v>Inter</v>
      </c>
      <c r="D38" s="61"/>
      <c r="E38" s="62"/>
      <c r="F38" s="47"/>
      <c r="G38" s="48">
        <f>IF(C38=C$48,Pesos!$Q$4,0)*IF(COUNTIF($C$27:$E$47,C38)=1,2,1)</f>
        <v>0</v>
      </c>
      <c r="H38" s="40" t="str">
        <f t="shared" si="2"/>
        <v>Inter</v>
      </c>
      <c r="I38" s="41" t="b">
        <f t="shared" si="3"/>
        <v>1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4.25" customHeight="1">
      <c r="A39" s="41"/>
      <c r="B39" s="51" t="s">
        <v>12</v>
      </c>
      <c r="C39" s="82" t="str">
        <f>VLOOKUP($B39,Form_FINAL!$C$2:$F$81,4,FALSE)</f>
        <v>Paris</v>
      </c>
      <c r="D39" s="61"/>
      <c r="E39" s="62"/>
      <c r="F39" s="9"/>
      <c r="G39" s="48">
        <f>IF(C39=C$48,Pesos!$Q$4,0)*IF(COUNTIF($C$27:$E$47,C39)=1,2,1)</f>
        <v>0</v>
      </c>
      <c r="H39" s="40" t="str">
        <f t="shared" si="2"/>
        <v>Paris</v>
      </c>
      <c r="I39" s="41" t="b">
        <f t="shared" si="3"/>
        <v>1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4.25" customHeight="1">
      <c r="A40" s="41"/>
      <c r="B40" s="51" t="s">
        <v>8</v>
      </c>
      <c r="C40" s="82" t="str">
        <f>VLOOKUP($B40,Form_FINAL!$C$2:$F$81,4,FALSE)</f>
        <v>Paris</v>
      </c>
      <c r="D40" s="61"/>
      <c r="E40" s="62"/>
      <c r="F40" s="47"/>
      <c r="G40" s="48">
        <f>IF(C40=C$48,Pesos!$Q$4,0)*IF(COUNTIF($C$27:$E$47,C40)=1,2,1)</f>
        <v>0</v>
      </c>
      <c r="H40" s="40" t="str">
        <f t="shared" si="2"/>
        <v>Paris</v>
      </c>
      <c r="I40" s="41" t="b">
        <f t="shared" si="3"/>
        <v>1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4.25" customHeight="1">
      <c r="A41" s="41"/>
      <c r="B41" s="51" t="s">
        <v>16</v>
      </c>
      <c r="C41" s="83" t="s">
        <v>139</v>
      </c>
      <c r="D41" s="61"/>
      <c r="E41" s="62"/>
      <c r="F41" s="47"/>
      <c r="G41" s="48">
        <f>IF(C41=C$48,Pesos!$Q$4,0)*IF(COUNTIF($C$27:$E$47,C41)=1,2,1)</f>
        <v>0</v>
      </c>
      <c r="H41" s="40" t="str">
        <f t="shared" si="2"/>
        <v>Inter</v>
      </c>
      <c r="I41" s="41" t="b">
        <f t="shared" si="3"/>
        <v>1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4.25" customHeight="1">
      <c r="A42" s="41"/>
      <c r="B42" s="51" t="s">
        <v>11</v>
      </c>
      <c r="C42" s="82" t="str">
        <f>VLOOKUP($B42,Form_FINAL!$C$2:$F$81,4,FALSE)</f>
        <v>Paris</v>
      </c>
      <c r="D42" s="61"/>
      <c r="E42" s="62"/>
      <c r="F42" s="47"/>
      <c r="G42" s="48">
        <f>IF(C42=C$48,Pesos!$Q$4,0)*IF(COUNTIF($C$27:$E$47,C42)=1,2,1)</f>
        <v>0</v>
      </c>
      <c r="H42" s="40" t="str">
        <f t="shared" si="2"/>
        <v>Paris</v>
      </c>
      <c r="I42" s="41" t="b">
        <f t="shared" si="3"/>
        <v>1</v>
      </c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4.25" customHeight="1">
      <c r="A43" s="41"/>
      <c r="B43" s="51" t="s">
        <v>7</v>
      </c>
      <c r="C43" s="82" t="str">
        <f>VLOOKUP($B43,Form_FINAL!$C$2:$F$81,4,FALSE)</f>
        <v>Paris</v>
      </c>
      <c r="D43" s="61"/>
      <c r="E43" s="62"/>
      <c r="F43" s="47"/>
      <c r="G43" s="48">
        <f>IF(C43=C$48,Pesos!$Q$4,0)*IF(COUNTIF($C$27:$E$47,C43)=1,2,1)</f>
        <v>0</v>
      </c>
      <c r="H43" s="40" t="str">
        <f t="shared" si="2"/>
        <v>Paris</v>
      </c>
      <c r="I43" s="41" t="b">
        <f t="shared" si="3"/>
        <v>1</v>
      </c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4.25" customHeight="1">
      <c r="A44" s="56"/>
      <c r="B44" s="51" t="s">
        <v>19</v>
      </c>
      <c r="C44" s="82" t="str">
        <f>VLOOKUP($B44,Form_FINAL!$C$2:$F$81,4,FALSE)</f>
        <v>Paris</v>
      </c>
      <c r="D44" s="61"/>
      <c r="E44" s="62"/>
      <c r="F44" s="55"/>
      <c r="G44" s="48">
        <f>IF(C44=C$48,Pesos!$Q$4,0)*IF(COUNTIF($C$27:$E$47,C44)=1,2,1)</f>
        <v>0</v>
      </c>
      <c r="H44" s="40" t="str">
        <f t="shared" si="2"/>
        <v>Paris</v>
      </c>
      <c r="I44" s="41" t="b">
        <f t="shared" si="3"/>
        <v>1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56"/>
      <c r="B45" s="52" t="s">
        <v>20</v>
      </c>
      <c r="C45" s="82" t="str">
        <f>VLOOKUP($B45,Form_FINAL!$C$2:$F$81,4,FALSE)</f>
        <v>Paris</v>
      </c>
      <c r="D45" s="61"/>
      <c r="E45" s="62"/>
      <c r="F45" s="55"/>
      <c r="G45" s="48">
        <f>IF(C45=C$48,Pesos!$Q$4,0)*IF(COUNTIF($C$27:$E$47,C45)=1,2,1)</f>
        <v>0</v>
      </c>
      <c r="H45" s="40" t="str">
        <f t="shared" si="2"/>
        <v>Paris</v>
      </c>
      <c r="I45" s="41" t="b">
        <f t="shared" si="3"/>
        <v>1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6"/>
      <c r="B46" s="52" t="s">
        <v>21</v>
      </c>
      <c r="C46" s="82" t="str">
        <f>VLOOKUP($B46,Form_FINAL!$C$2:$F$81,4,FALSE)</f>
        <v>Inter</v>
      </c>
      <c r="D46" s="61"/>
      <c r="E46" s="62"/>
      <c r="F46" s="55"/>
      <c r="G46" s="48">
        <f>IF(C46=C$48,Pesos!$Q$4,0)*IF(COUNTIF($C$27:$E$47,C46)=1,2,1)</f>
        <v>0</v>
      </c>
      <c r="H46" s="40" t="str">
        <f t="shared" si="2"/>
        <v>Inter</v>
      </c>
      <c r="I46" s="41" t="b">
        <f t="shared" si="3"/>
        <v>1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56"/>
      <c r="B47" s="52" t="s">
        <v>22</v>
      </c>
      <c r="C47" s="82" t="str">
        <f>VLOOKUP($B47,Form_FINAL!$C$2:$F$81,4,FALSE)</f>
        <v>#N/A</v>
      </c>
      <c r="D47" s="61"/>
      <c r="E47" s="62"/>
      <c r="F47" s="55"/>
      <c r="G47" s="48" t="str">
        <f>IF(C47=C$48,Pesos!$Q$4,0)*IF(COUNTIF($C$27:$E$47,C47)=1,2,1)</f>
        <v>#N/A</v>
      </c>
      <c r="H47" s="40" t="str">
        <f t="shared" si="2"/>
        <v>#N/A</v>
      </c>
      <c r="I47" s="41" t="str">
        <f t="shared" si="3"/>
        <v>#N/A</v>
      </c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6"/>
      <c r="B48" s="58" t="s">
        <v>1</v>
      </c>
      <c r="C48" s="83"/>
      <c r="D48" s="61"/>
      <c r="E48" s="62"/>
      <c r="F48" s="55"/>
      <c r="G48" s="59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41"/>
      <c r="B49" s="40"/>
      <c r="C49" s="40"/>
      <c r="D49" s="40"/>
      <c r="E49" s="40"/>
      <c r="F49" s="40"/>
      <c r="G49" s="40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4.25" customHeight="1">
      <c r="A50" s="41"/>
      <c r="B50" s="40"/>
      <c r="C50" s="68" t="s">
        <v>141</v>
      </c>
      <c r="D50" s="40"/>
      <c r="E50" s="68" t="s">
        <v>142</v>
      </c>
      <c r="F50" s="40" t="s">
        <v>143</v>
      </c>
      <c r="G50" s="40" t="s">
        <v>144</v>
      </c>
      <c r="H50" s="40" t="s">
        <v>144</v>
      </c>
      <c r="I50" s="68" t="s">
        <v>145</v>
      </c>
      <c r="J50" s="68" t="s">
        <v>145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4.25" customHeight="1">
      <c r="A51" s="41"/>
      <c r="B51" s="45" t="s">
        <v>9</v>
      </c>
      <c r="C51" s="40">
        <f>G3+G27+Pesos!$P$26*F51</f>
        <v>0</v>
      </c>
      <c r="D51" s="40"/>
      <c r="E51" s="40">
        <f>VLOOKUP(B51,Ranking!$D$5:$M$25,6,FALSE)</f>
        <v>0</v>
      </c>
      <c r="F51" s="40">
        <f t="shared" ref="F51:F71" si="4">IF(E51=$C$48,1,0)</f>
        <v>1</v>
      </c>
      <c r="G51" s="40" t="str">
        <f>HLOOKUP(B51,'1a FASE'!$C$2:$W$7,4,FALSE)</f>
        <v>Erling Haaland</v>
      </c>
      <c r="H51" s="40">
        <f t="shared" ref="H51:H71" si="5">IF(G51=$M$52,1,0)</f>
        <v>0</v>
      </c>
      <c r="I51" s="40" t="str">
        <f>HLOOKUP(B51,'1a FASE'!$C$2:$W$7,5,FALSE)</f>
        <v>Désiré Doué</v>
      </c>
      <c r="J51" s="40">
        <f t="shared" ref="J51:J71" si="6">IF(I51=$M$53,1,0)</f>
        <v>0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4.25" customHeight="1">
      <c r="A52" s="41"/>
      <c r="B52" s="45" t="s">
        <v>10</v>
      </c>
      <c r="C52" s="40">
        <f>G4+G28+Pesos!$P$26*F52</f>
        <v>0</v>
      </c>
      <c r="D52" s="40"/>
      <c r="E52" s="40">
        <f>VLOOKUP(B52,Ranking!$D$5:$M$25,6,FALSE)</f>
        <v>0</v>
      </c>
      <c r="F52" s="40">
        <f t="shared" si="4"/>
        <v>1</v>
      </c>
      <c r="G52" s="40" t="str">
        <f>HLOOKUP(B52,'1a FASE'!$C$2:$W$7,4,FALSE)</f>
        <v>Raphinha</v>
      </c>
      <c r="H52" s="40">
        <f t="shared" si="5"/>
        <v>0</v>
      </c>
      <c r="I52" s="40" t="str">
        <f>HLOOKUP(B52,'1a FASE'!$C$2:$W$7,5,FALSE)</f>
        <v>Lamine Yamal</v>
      </c>
      <c r="J52" s="40">
        <f t="shared" si="6"/>
        <v>0</v>
      </c>
      <c r="K52" s="41"/>
      <c r="L52" s="84" t="s">
        <v>144</v>
      </c>
      <c r="M52" s="85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4.25" customHeight="1">
      <c r="A53" s="41"/>
      <c r="B53" s="45" t="s">
        <v>17</v>
      </c>
      <c r="C53" s="40">
        <f>G5+G29+Pesos!$P$26*F53</f>
        <v>0</v>
      </c>
      <c r="D53" s="40"/>
      <c r="E53" s="40">
        <f>VLOOKUP(B53,Ranking!$D$5:$M$25,6,FALSE)</f>
        <v>0</v>
      </c>
      <c r="F53" s="40">
        <f t="shared" si="4"/>
        <v>1</v>
      </c>
      <c r="G53" s="40" t="str">
        <f>HLOOKUP(B53,'1a FASE'!$C$2:$W$7,4,FALSE)</f>
        <v>Erling Haaland</v>
      </c>
      <c r="H53" s="40">
        <f t="shared" si="5"/>
        <v>0</v>
      </c>
      <c r="I53" s="40" t="str">
        <f>HLOOKUP(B53,'1a FASE'!$C$2:$W$7,5,FALSE)</f>
        <v>Vitinha</v>
      </c>
      <c r="J53" s="40">
        <f t="shared" si="6"/>
        <v>0</v>
      </c>
      <c r="K53" s="41"/>
      <c r="L53" s="86" t="s">
        <v>145</v>
      </c>
      <c r="M53" s="85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4.25" customHeight="1">
      <c r="A54" s="41"/>
      <c r="B54" s="45" t="s">
        <v>3</v>
      </c>
      <c r="C54" s="40">
        <f>G6+G30+Pesos!$P$26*F54</f>
        <v>0</v>
      </c>
      <c r="D54" s="40"/>
      <c r="E54" s="40">
        <f>VLOOKUP(B54,Ranking!$D$5:$M$25,6,FALSE)</f>
        <v>0</v>
      </c>
      <c r="F54" s="40">
        <f t="shared" si="4"/>
        <v>1</v>
      </c>
      <c r="G54" s="40" t="str">
        <f>HLOOKUP(B54,'1a FASE'!$C$2:$W$7,4,FALSE)</f>
        <v>Mohamed Salah</v>
      </c>
      <c r="H54" s="40">
        <f t="shared" si="5"/>
        <v>0</v>
      </c>
      <c r="I54" s="40" t="str">
        <f>HLOOKUP(B54,'1a FASE'!$C$2:$W$7,5,FALSE)</f>
        <v>Mohamed Salah</v>
      </c>
      <c r="J54" s="40">
        <f t="shared" si="6"/>
        <v>0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4.25" customHeight="1">
      <c r="A55" s="41"/>
      <c r="B55" s="45" t="s">
        <v>13</v>
      </c>
      <c r="C55" s="40">
        <f>G7+G31+Pesos!$P$26*F55</f>
        <v>0</v>
      </c>
      <c r="D55" s="40"/>
      <c r="E55" s="40">
        <f>VLOOKUP(B55,Ranking!$D$5:$M$25,6,FALSE)</f>
        <v>0</v>
      </c>
      <c r="F55" s="40">
        <f t="shared" si="4"/>
        <v>1</v>
      </c>
      <c r="G55" s="40" t="str">
        <f>HLOOKUP(B55,'1a FASE'!$C$2:$W$7,4,FALSE)</f>
        <v>Robert Lewandowski</v>
      </c>
      <c r="H55" s="40">
        <f t="shared" si="5"/>
        <v>0</v>
      </c>
      <c r="I55" s="40" t="str">
        <f>HLOOKUP(B55,'1a FASE'!$C$2:$W$7,5,FALSE)</f>
        <v>Cole Palmer</v>
      </c>
      <c r="J55" s="40">
        <f t="shared" si="6"/>
        <v>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0"/>
      <c r="V55" s="40"/>
      <c r="W55" s="40"/>
      <c r="X55" s="40"/>
      <c r="Y55" s="40"/>
      <c r="Z55" s="40"/>
    </row>
    <row r="56" ht="14.25" customHeight="1">
      <c r="A56" s="41"/>
      <c r="B56" s="45" t="s">
        <v>14</v>
      </c>
      <c r="C56" s="40">
        <f>G8+G32+Pesos!$P$26*F56</f>
        <v>0</v>
      </c>
      <c r="D56" s="40"/>
      <c r="E56" s="40">
        <f>VLOOKUP(B56,Ranking!$D$5:$M$25,6,FALSE)</f>
        <v>0</v>
      </c>
      <c r="F56" s="40">
        <f t="shared" si="4"/>
        <v>1</v>
      </c>
      <c r="G56" s="40" t="str">
        <f>HLOOKUP(B56,'1a FASE'!$C$2:$W$7,4,FALSE)</f>
        <v>Robert Lewandowski</v>
      </c>
      <c r="H56" s="40">
        <f t="shared" si="5"/>
        <v>0</v>
      </c>
      <c r="I56" s="40" t="str">
        <f>HLOOKUP(B56,'1a FASE'!$C$2:$W$7,5,FALSE)</f>
        <v>Eberechi Eze</v>
      </c>
      <c r="J56" s="40">
        <f t="shared" si="6"/>
        <v>0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0"/>
      <c r="V56" s="40"/>
      <c r="W56" s="40"/>
      <c r="X56" s="40"/>
      <c r="Y56" s="40"/>
      <c r="Z56" s="40"/>
    </row>
    <row r="57" ht="14.25" customHeight="1">
      <c r="A57" s="41"/>
      <c r="B57" s="45" t="s">
        <v>6</v>
      </c>
      <c r="C57" s="40">
        <f>G9+G33+Pesos!$P$26*F57</f>
        <v>0</v>
      </c>
      <c r="D57" s="40"/>
      <c r="E57" s="40">
        <f>VLOOKUP(B57,Ranking!$D$5:$M$25,6,FALSE)</f>
        <v>0</v>
      </c>
      <c r="F57" s="40">
        <f t="shared" si="4"/>
        <v>1</v>
      </c>
      <c r="G57" s="40" t="str">
        <f>HLOOKUP(B57,'1a FASE'!$C$2:$W$7,4,FALSE)</f>
        <v>Raphinha</v>
      </c>
      <c r="H57" s="40">
        <f t="shared" si="5"/>
        <v>0</v>
      </c>
      <c r="I57" s="40" t="str">
        <f>HLOOKUP(B57,'1a FASE'!$C$2:$W$7,5,FALSE)</f>
        <v>Lamine Yamal</v>
      </c>
      <c r="J57" s="40">
        <f t="shared" si="6"/>
        <v>0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0"/>
      <c r="V57" s="40"/>
      <c r="W57" s="40"/>
      <c r="X57" s="40"/>
      <c r="Y57" s="40"/>
      <c r="Z57" s="40"/>
    </row>
    <row r="58" ht="14.25" customHeight="1">
      <c r="A58" s="41"/>
      <c r="B58" s="87" t="s">
        <v>5</v>
      </c>
      <c r="C58" s="40">
        <f>G10+G34+Pesos!$P$26*F58</f>
        <v>0</v>
      </c>
      <c r="D58" s="40"/>
      <c r="E58" s="40">
        <f>VLOOKUP(B58,Ranking!$D$5:$M$25,6,FALSE)</f>
        <v>0</v>
      </c>
      <c r="F58" s="40">
        <f t="shared" si="4"/>
        <v>1</v>
      </c>
      <c r="G58" s="40" t="str">
        <f>HLOOKUP(B58,'1a FASE'!$C$2:$W$7,4,FALSE)</f>
        <v>Ekitike </v>
      </c>
      <c r="H58" s="40">
        <f t="shared" si="5"/>
        <v>0</v>
      </c>
      <c r="I58" s="40" t="str">
        <f>HLOOKUP(B58,'1a FASE'!$C$2:$W$7,5,FALSE)</f>
        <v>Raphinha</v>
      </c>
      <c r="J58" s="40">
        <f t="shared" si="6"/>
        <v>0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0"/>
      <c r="V58" s="40"/>
      <c r="W58" s="40"/>
      <c r="X58" s="40"/>
      <c r="Y58" s="40"/>
      <c r="Z58" s="40"/>
    </row>
    <row r="59" ht="14.25" customHeight="1">
      <c r="A59" s="41"/>
      <c r="B59" s="45" t="s">
        <v>4</v>
      </c>
      <c r="C59" s="40">
        <f>G11+G35+Pesos!$P$26*F59</f>
        <v>0</v>
      </c>
      <c r="D59" s="40"/>
      <c r="E59" s="40">
        <f>VLOOKUP(B59,Ranking!$D$5:$M$25,6,FALSE)</f>
        <v>0</v>
      </c>
      <c r="F59" s="40">
        <f t="shared" si="4"/>
        <v>1</v>
      </c>
      <c r="G59" s="40" t="str">
        <f>HLOOKUP(B59,'1a FASE'!$C$2:$W$7,4,FALSE)</f>
        <v>João Pedro</v>
      </c>
      <c r="H59" s="40">
        <f t="shared" si="5"/>
        <v>0</v>
      </c>
      <c r="I59" s="40" t="str">
        <f>HLOOKUP(B59,'1a FASE'!$C$2:$W$7,5,FALSE)</f>
        <v>Lamine Yamal</v>
      </c>
      <c r="J59" s="40">
        <f t="shared" si="6"/>
        <v>0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0"/>
      <c r="V59" s="40"/>
      <c r="W59" s="40"/>
      <c r="X59" s="40"/>
      <c r="Y59" s="40"/>
      <c r="Z59" s="40"/>
    </row>
    <row r="60" ht="14.25" customHeight="1">
      <c r="A60" s="41"/>
      <c r="B60" s="45" t="s">
        <v>18</v>
      </c>
      <c r="C60" s="40">
        <f>G12+G36+Pesos!$P$26*F60</f>
        <v>0</v>
      </c>
      <c r="D60" s="40"/>
      <c r="E60" s="40">
        <f>VLOOKUP(B60,Ranking!$D$5:$M$25,6,FALSE)</f>
        <v>0</v>
      </c>
      <c r="F60" s="40">
        <f t="shared" si="4"/>
        <v>1</v>
      </c>
      <c r="G60" s="40" t="str">
        <f>HLOOKUP(B60,'1a FASE'!$C$2:$W$7,4,FALSE)</f>
        <v>Erling Haaland</v>
      </c>
      <c r="H60" s="40">
        <f t="shared" si="5"/>
        <v>0</v>
      </c>
      <c r="I60" s="40" t="str">
        <f>HLOOKUP(B60,'1a FASE'!$C$2:$W$7,5,FALSE)</f>
        <v>Mohamed Salah</v>
      </c>
      <c r="J60" s="40">
        <f t="shared" si="6"/>
        <v>0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0"/>
      <c r="V60" s="40"/>
      <c r="W60" s="40"/>
      <c r="X60" s="40"/>
      <c r="Y60" s="40"/>
      <c r="Z60" s="40"/>
    </row>
    <row r="61" ht="14.25" customHeight="1">
      <c r="A61" s="41"/>
      <c r="B61" s="45" t="s">
        <v>2</v>
      </c>
      <c r="C61" s="40">
        <f>G13+G37+Pesos!$P$26*F61</f>
        <v>0</v>
      </c>
      <c r="D61" s="40"/>
      <c r="E61" s="40">
        <f>VLOOKUP(B61,Ranking!$D$5:$M$25,6,FALSE)</f>
        <v>0</v>
      </c>
      <c r="F61" s="40">
        <f t="shared" si="4"/>
        <v>1</v>
      </c>
      <c r="G61" s="40" t="str">
        <f>HLOOKUP(B61,'1a FASE'!$C$2:$W$7,4,FALSE)</f>
        <v>Kylian Mbappé</v>
      </c>
      <c r="H61" s="40">
        <f t="shared" si="5"/>
        <v>0</v>
      </c>
      <c r="I61" s="40" t="str">
        <f>HLOOKUP(B61,'1a FASE'!$C$2:$W$7,5,FALSE)</f>
        <v>Phil Foden</v>
      </c>
      <c r="J61" s="40">
        <f t="shared" si="6"/>
        <v>0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0"/>
      <c r="V61" s="40"/>
      <c r="W61" s="40"/>
      <c r="X61" s="40"/>
      <c r="Y61" s="40"/>
      <c r="Z61" s="40"/>
    </row>
    <row r="62" ht="14.25" customHeight="1">
      <c r="A62" s="41"/>
      <c r="B62" s="45" t="s">
        <v>15</v>
      </c>
      <c r="C62" s="40">
        <f>G14+G38+Pesos!$P$26*F62</f>
        <v>0</v>
      </c>
      <c r="D62" s="40"/>
      <c r="E62" s="40">
        <f>VLOOKUP(B62,Ranking!$D$5:$M$25,6,FALSE)</f>
        <v>0</v>
      </c>
      <c r="F62" s="40">
        <f t="shared" si="4"/>
        <v>1</v>
      </c>
      <c r="G62" s="40" t="str">
        <f>HLOOKUP(B62,'1a FASE'!$C$2:$W$7,4,FALSE)</f>
        <v>Robert Lewandowski</v>
      </c>
      <c r="H62" s="40">
        <f t="shared" si="5"/>
        <v>0</v>
      </c>
      <c r="I62" s="40" t="str">
        <f>HLOOKUP(B62,'1a FASE'!$C$2:$W$7,5,FALSE)</f>
        <v>Lamine Yamal</v>
      </c>
      <c r="J62" s="40">
        <f t="shared" si="6"/>
        <v>0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0"/>
      <c r="V62" s="40"/>
      <c r="W62" s="40"/>
      <c r="X62" s="40"/>
      <c r="Y62" s="40"/>
      <c r="Z62" s="40"/>
    </row>
    <row r="63" ht="14.25" customHeight="1">
      <c r="A63" s="41"/>
      <c r="B63" s="45" t="s">
        <v>12</v>
      </c>
      <c r="C63" s="40">
        <f>G15+G39+Pesos!$P$26*F63</f>
        <v>0</v>
      </c>
      <c r="D63" s="40"/>
      <c r="E63" s="40">
        <f>VLOOKUP(B63,Ranking!$D$5:$M$25,6,FALSE)</f>
        <v>0</v>
      </c>
      <c r="F63" s="40">
        <f t="shared" si="4"/>
        <v>1</v>
      </c>
      <c r="G63" s="40" t="str">
        <f>HLOOKUP(B63,'1a FASE'!$C$2:$W$7,4,FALSE)</f>
        <v>Erling Haaland</v>
      </c>
      <c r="H63" s="40">
        <f t="shared" si="5"/>
        <v>0</v>
      </c>
      <c r="I63" s="40" t="str">
        <f>HLOOKUP(B63,'1a FASE'!$C$2:$W$7,5,FALSE)</f>
        <v>Ousmane Dembélé</v>
      </c>
      <c r="J63" s="40">
        <f t="shared" si="6"/>
        <v>0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0"/>
      <c r="V63" s="40"/>
      <c r="W63" s="40"/>
      <c r="X63" s="40"/>
      <c r="Y63" s="40"/>
      <c r="Z63" s="40"/>
    </row>
    <row r="64" ht="14.25" customHeight="1">
      <c r="A64" s="41"/>
      <c r="B64" s="45" t="s">
        <v>8</v>
      </c>
      <c r="C64" s="40">
        <f>G16+G40+Pesos!$P$26*F64</f>
        <v>0</v>
      </c>
      <c r="D64" s="40"/>
      <c r="E64" s="40">
        <f>VLOOKUP(B64,Ranking!$D$5:$M$25,6,FALSE)</f>
        <v>0</v>
      </c>
      <c r="F64" s="40">
        <f t="shared" si="4"/>
        <v>1</v>
      </c>
      <c r="G64" s="40" t="str">
        <f>HLOOKUP(B64,'1a FASE'!$C$2:$W$7,4,FALSE)</f>
        <v>Harry Kane</v>
      </c>
      <c r="H64" s="40">
        <f t="shared" si="5"/>
        <v>0</v>
      </c>
      <c r="I64" s="40" t="str">
        <f>HLOOKUP(B64,'1a FASE'!$C$2:$W$7,5,FALSE)</f>
        <v>Lamine Yamal</v>
      </c>
      <c r="J64" s="40">
        <f t="shared" si="6"/>
        <v>0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0"/>
      <c r="V64" s="40"/>
      <c r="W64" s="40"/>
      <c r="X64" s="40"/>
      <c r="Y64" s="40"/>
      <c r="Z64" s="40"/>
    </row>
    <row r="65" ht="14.25" customHeight="1">
      <c r="A65" s="41"/>
      <c r="B65" s="45" t="s">
        <v>16</v>
      </c>
      <c r="C65" s="40">
        <f>G17+G41+Pesos!$P$26*F65</f>
        <v>0</v>
      </c>
      <c r="D65" s="40"/>
      <c r="E65" s="40">
        <f>VLOOKUP(B65,Ranking!$D$5:$M$25,6,FALSE)</f>
        <v>0</v>
      </c>
      <c r="F65" s="40">
        <f t="shared" si="4"/>
        <v>1</v>
      </c>
      <c r="G65" s="40" t="str">
        <f>HLOOKUP(B65,'1a FASE'!$C$2:$W$7,4,FALSE)</f>
        <v>Kylian Mbappé</v>
      </c>
      <c r="H65" s="40">
        <f t="shared" si="5"/>
        <v>0</v>
      </c>
      <c r="I65" s="40" t="str">
        <f>HLOOKUP(B65,'1a FASE'!$C$2:$W$7,5,FALSE)</f>
        <v>Raphinha</v>
      </c>
      <c r="J65" s="40">
        <f t="shared" si="6"/>
        <v>0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0"/>
      <c r="V65" s="40"/>
      <c r="W65" s="40"/>
      <c r="X65" s="40"/>
      <c r="Y65" s="40"/>
      <c r="Z65" s="40"/>
    </row>
    <row r="66" ht="14.25" customHeight="1">
      <c r="A66" s="41"/>
      <c r="B66" s="45" t="s">
        <v>11</v>
      </c>
      <c r="C66" s="40">
        <f>G18+G42+Pesos!$P$26*F66</f>
        <v>0</v>
      </c>
      <c r="D66" s="40"/>
      <c r="E66" s="40">
        <f>VLOOKUP(B66,Ranking!$D$5:$M$25,6,FALSE)</f>
        <v>0</v>
      </c>
      <c r="F66" s="40">
        <f t="shared" si="4"/>
        <v>1</v>
      </c>
      <c r="G66" s="40" t="str">
        <f>HLOOKUP(B66,'1a FASE'!$C$2:$W$7,4,FALSE)</f>
        <v>Raphinha</v>
      </c>
      <c r="H66" s="40">
        <f t="shared" si="5"/>
        <v>0</v>
      </c>
      <c r="I66" s="40" t="str">
        <f>HLOOKUP(B66,'1a FASE'!$C$2:$W$7,5,FALSE)</f>
        <v>Cole Palmer</v>
      </c>
      <c r="J66" s="40">
        <f t="shared" si="6"/>
        <v>0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0"/>
      <c r="V66" s="40"/>
      <c r="W66" s="40"/>
      <c r="X66" s="40"/>
      <c r="Y66" s="40"/>
      <c r="Z66" s="40"/>
    </row>
    <row r="67" ht="14.25" customHeight="1">
      <c r="A67" s="41"/>
      <c r="B67" s="45" t="s">
        <v>7</v>
      </c>
      <c r="C67" s="40">
        <f>G19+G43+Pesos!$P$26*F67</f>
        <v>0</v>
      </c>
      <c r="D67" s="40"/>
      <c r="E67" s="40">
        <f>VLOOKUP(B67,Ranking!$D$5:$M$25,6,FALSE)</f>
        <v>0</v>
      </c>
      <c r="F67" s="40">
        <f t="shared" si="4"/>
        <v>1</v>
      </c>
      <c r="G67" s="40" t="str">
        <f>HLOOKUP(B67,'1a FASE'!$C$2:$W$7,4,FALSE)</f>
        <v>Robert Lewandowski</v>
      </c>
      <c r="H67" s="40">
        <f t="shared" si="5"/>
        <v>0</v>
      </c>
      <c r="I67" s="40" t="str">
        <f>HLOOKUP(B67,'1a FASE'!$C$2:$W$7,5,FALSE)</f>
        <v>Lamine Yamal</v>
      </c>
      <c r="J67" s="40">
        <f t="shared" si="6"/>
        <v>0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0"/>
      <c r="V67" s="40"/>
      <c r="W67" s="40"/>
      <c r="X67" s="40"/>
      <c r="Y67" s="40"/>
      <c r="Z67" s="40"/>
    </row>
    <row r="68" ht="14.25" customHeight="1">
      <c r="A68" s="41"/>
      <c r="B68" s="45" t="s">
        <v>19</v>
      </c>
      <c r="C68" s="40">
        <f>G20+G44+Pesos!$P$26*F68</f>
        <v>0</v>
      </c>
      <c r="D68" s="40"/>
      <c r="E68" s="40">
        <f>VLOOKUP(B68,Ranking!$D$5:$M$25,6,FALSE)</f>
        <v>0</v>
      </c>
      <c r="F68" s="40">
        <f t="shared" si="4"/>
        <v>1</v>
      </c>
      <c r="G68" s="40" t="str">
        <f>HLOOKUP(B68,'1a FASE'!$C$2:$W$7,4,FALSE)</f>
        <v>Ousmane Dembélé</v>
      </c>
      <c r="H68" s="40">
        <f t="shared" si="5"/>
        <v>0</v>
      </c>
      <c r="I68" s="40" t="str">
        <f>HLOOKUP(B68,'1a FASE'!$C$2:$W$7,5,FALSE)</f>
        <v>Raphinha</v>
      </c>
      <c r="J68" s="40">
        <f t="shared" si="6"/>
        <v>0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4.25" customHeight="1">
      <c r="A69" s="41"/>
      <c r="B69" s="87" t="s">
        <v>20</v>
      </c>
      <c r="C69" s="40">
        <f>G21+G45+Pesos!$P$26*F69</f>
        <v>0</v>
      </c>
      <c r="D69" s="40"/>
      <c r="E69" s="40">
        <f>VLOOKUP(B69,Ranking!$D$5:$M$25,6,FALSE)</f>
        <v>0</v>
      </c>
      <c r="F69" s="40">
        <f t="shared" si="4"/>
        <v>1</v>
      </c>
      <c r="G69" s="40" t="str">
        <f>HLOOKUP(B69,'1a FASE'!$C$2:$W$7,4,FALSE)</f>
        <v>Raphinha</v>
      </c>
      <c r="H69" s="40">
        <f t="shared" si="5"/>
        <v>0</v>
      </c>
      <c r="I69" s="40" t="str">
        <f>HLOOKUP(B69,'1a FASE'!$C$2:$W$7,5,FALSE)</f>
        <v>Lamine Yamal</v>
      </c>
      <c r="J69" s="40">
        <f t="shared" si="6"/>
        <v>0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4.25" customHeight="1">
      <c r="A70" s="41"/>
      <c r="B70" s="87" t="s">
        <v>21</v>
      </c>
      <c r="C70" s="40">
        <f>G22+G46+Pesos!$P$26*F70</f>
        <v>0</v>
      </c>
      <c r="D70" s="40"/>
      <c r="E70" s="40">
        <f>VLOOKUP(B70,Ranking!$D$5:$M$25,6,FALSE)</f>
        <v>0</v>
      </c>
      <c r="F70" s="40">
        <f t="shared" si="4"/>
        <v>1</v>
      </c>
      <c r="G70" s="40" t="str">
        <f>HLOOKUP(B70,'1a FASE'!$C$2:$W$7,4,FALSE)</f>
        <v>Harry Kane</v>
      </c>
      <c r="H70" s="40">
        <f t="shared" si="5"/>
        <v>0</v>
      </c>
      <c r="I70" s="40" t="str">
        <f>HLOOKUP(B70,'1a FASE'!$C$2:$W$7,5,FALSE)</f>
        <v>Vinícius Jr.</v>
      </c>
      <c r="J70" s="40">
        <f t="shared" si="6"/>
        <v>0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4.25" customHeight="1">
      <c r="A71" s="41"/>
      <c r="B71" s="87" t="s">
        <v>22</v>
      </c>
      <c r="C71" s="40" t="str">
        <f>G23+G47+Pesos!$P$26*F71</f>
        <v>#N/A</v>
      </c>
      <c r="D71" s="40"/>
      <c r="E71" s="40">
        <f>VLOOKUP(B71,Ranking!$D$5:$M$25,6,FALSE)</f>
        <v>0</v>
      </c>
      <c r="F71" s="40">
        <f t="shared" si="4"/>
        <v>1</v>
      </c>
      <c r="G71" s="40" t="str">
        <f>HLOOKUP(B71,'1a FASE'!$C$2:$W$7,4,FALSE)</f>
        <v>Kylian Mbappé</v>
      </c>
      <c r="H71" s="40">
        <f t="shared" si="5"/>
        <v>0</v>
      </c>
      <c r="I71" s="40" t="str">
        <f>HLOOKUP(B71,'1a FASE'!$C$2:$W$7,5,FALSE)</f>
        <v>Vinícius Jr.</v>
      </c>
      <c r="J71" s="40">
        <f t="shared" si="6"/>
        <v>0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4.25" customHeight="1">
      <c r="A72" s="41"/>
      <c r="B72" s="40"/>
      <c r="C72" s="40"/>
      <c r="D72" s="40"/>
      <c r="E72" s="40"/>
      <c r="F72" s="40"/>
      <c r="G72" s="40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4.25" customHeight="1">
      <c r="A73" s="41"/>
      <c r="B73" s="40"/>
      <c r="C73" s="40"/>
      <c r="D73" s="40"/>
      <c r="E73" s="40"/>
      <c r="F73" s="40"/>
      <c r="G73" s="40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4.25" customHeight="1">
      <c r="A74" s="41"/>
      <c r="B74" s="40"/>
      <c r="C74" s="40"/>
      <c r="D74" s="40"/>
      <c r="E74" s="40"/>
      <c r="F74" s="40"/>
      <c r="G74" s="40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4.25" customHeight="1">
      <c r="A75" s="41"/>
      <c r="B75" s="40"/>
      <c r="C75" s="40"/>
      <c r="D75" s="40"/>
      <c r="E75" s="40"/>
      <c r="F75" s="40"/>
      <c r="G75" s="40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4.25" customHeight="1">
      <c r="A76" s="41"/>
      <c r="B76" s="40"/>
      <c r="C76" s="40"/>
      <c r="D76" s="40"/>
      <c r="E76" s="40"/>
      <c r="F76" s="40"/>
      <c r="G76" s="40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4.25" customHeight="1">
      <c r="A77" s="41"/>
      <c r="B77" s="40"/>
      <c r="C77" s="40"/>
      <c r="D77" s="40"/>
      <c r="E77" s="40"/>
      <c r="F77" s="40"/>
      <c r="G77" s="40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4.25" customHeight="1">
      <c r="A78" s="41"/>
      <c r="B78" s="40"/>
      <c r="C78" s="40"/>
      <c r="D78" s="40"/>
      <c r="E78" s="40"/>
      <c r="F78" s="40"/>
      <c r="G78" s="40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4.25" customHeight="1">
      <c r="A79" s="41"/>
      <c r="B79" s="40"/>
      <c r="C79" s="40"/>
      <c r="D79" s="40"/>
      <c r="E79" s="40"/>
      <c r="F79" s="40"/>
      <c r="G79" s="40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4.25" customHeight="1">
      <c r="A80" s="41"/>
      <c r="B80" s="40"/>
      <c r="C80" s="40"/>
      <c r="D80" s="40"/>
      <c r="E80" s="40"/>
      <c r="F80" s="40"/>
      <c r="G80" s="40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4.25" customHeight="1">
      <c r="A81" s="41"/>
      <c r="B81" s="40"/>
      <c r="C81" s="40"/>
      <c r="D81" s="40"/>
      <c r="E81" s="40"/>
      <c r="F81" s="40"/>
      <c r="G81" s="40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4.25" customHeight="1">
      <c r="A82" s="41"/>
      <c r="B82" s="40"/>
      <c r="C82" s="40"/>
      <c r="D82" s="40"/>
      <c r="E82" s="40"/>
      <c r="F82" s="40"/>
      <c r="G82" s="40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4.25" customHeight="1">
      <c r="A83" s="41"/>
      <c r="B83" s="40"/>
      <c r="C83" s="40"/>
      <c r="D83" s="40"/>
      <c r="E83" s="40"/>
      <c r="F83" s="40"/>
      <c r="G83" s="40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4.25" customHeight="1">
      <c r="A84" s="41"/>
      <c r="B84" s="40"/>
      <c r="C84" s="40"/>
      <c r="D84" s="40"/>
      <c r="E84" s="40"/>
      <c r="F84" s="40"/>
      <c r="G84" s="40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4.25" customHeight="1">
      <c r="A85" s="41"/>
      <c r="B85" s="40"/>
      <c r="C85" s="40"/>
      <c r="D85" s="40"/>
      <c r="E85" s="40"/>
      <c r="F85" s="40"/>
      <c r="G85" s="40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4.25" customHeight="1">
      <c r="A86" s="41"/>
      <c r="B86" s="40"/>
      <c r="C86" s="40"/>
      <c r="D86" s="40"/>
      <c r="E86" s="40"/>
      <c r="F86" s="40"/>
      <c r="G86" s="40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4.25" customHeight="1">
      <c r="A87" s="41"/>
      <c r="B87" s="40"/>
      <c r="C87" s="40"/>
      <c r="D87" s="40"/>
      <c r="E87" s="40"/>
      <c r="F87" s="40"/>
      <c r="G87" s="40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4.25" customHeight="1">
      <c r="A88" s="41"/>
      <c r="B88" s="40"/>
      <c r="C88" s="40"/>
      <c r="D88" s="40"/>
      <c r="E88" s="40"/>
      <c r="F88" s="40"/>
      <c r="G88" s="40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4.25" customHeight="1">
      <c r="A89" s="41"/>
      <c r="B89" s="40"/>
      <c r="C89" s="40"/>
      <c r="D89" s="40"/>
      <c r="E89" s="40"/>
      <c r="F89" s="40"/>
      <c r="G89" s="40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4.25" customHeight="1">
      <c r="A90" s="41"/>
      <c r="B90" s="40"/>
      <c r="C90" s="40"/>
      <c r="D90" s="40"/>
      <c r="E90" s="40"/>
      <c r="F90" s="40"/>
      <c r="G90" s="40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4.25" customHeight="1">
      <c r="A91" s="41"/>
      <c r="B91" s="40"/>
      <c r="C91" s="40"/>
      <c r="D91" s="40"/>
      <c r="E91" s="40"/>
      <c r="F91" s="40"/>
      <c r="G91" s="40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4.25" customHeight="1">
      <c r="A92" s="41"/>
      <c r="B92" s="40"/>
      <c r="C92" s="40"/>
      <c r="D92" s="40"/>
      <c r="E92" s="40"/>
      <c r="F92" s="40"/>
      <c r="G92" s="40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4.25" customHeight="1">
      <c r="A93" s="41"/>
      <c r="B93" s="40"/>
      <c r="C93" s="40"/>
      <c r="D93" s="40"/>
      <c r="E93" s="40"/>
      <c r="F93" s="40"/>
      <c r="G93" s="40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4.25" customHeight="1">
      <c r="A94" s="41"/>
      <c r="B94" s="40"/>
      <c r="C94" s="40"/>
      <c r="D94" s="40"/>
      <c r="E94" s="40"/>
      <c r="F94" s="40"/>
      <c r="G94" s="40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4.25" customHeight="1">
      <c r="A95" s="41"/>
      <c r="B95" s="40"/>
      <c r="C95" s="40"/>
      <c r="D95" s="40"/>
      <c r="E95" s="40"/>
      <c r="F95" s="40"/>
      <c r="G95" s="40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4.25" customHeight="1">
      <c r="A96" s="41"/>
      <c r="B96" s="40"/>
      <c r="C96" s="40"/>
      <c r="D96" s="40"/>
      <c r="E96" s="40"/>
      <c r="F96" s="40"/>
      <c r="G96" s="40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4.25" customHeight="1">
      <c r="A97" s="41"/>
      <c r="B97" s="40"/>
      <c r="C97" s="40"/>
      <c r="D97" s="40"/>
      <c r="E97" s="40"/>
      <c r="F97" s="40"/>
      <c r="G97" s="40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4.25" customHeight="1">
      <c r="A98" s="41"/>
      <c r="B98" s="40"/>
      <c r="C98" s="40"/>
      <c r="D98" s="40"/>
      <c r="E98" s="40"/>
      <c r="F98" s="40"/>
      <c r="G98" s="40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4.25" customHeight="1">
      <c r="A99" s="41"/>
      <c r="B99" s="40"/>
      <c r="C99" s="40"/>
      <c r="D99" s="40"/>
      <c r="E99" s="40"/>
      <c r="F99" s="40"/>
      <c r="G99" s="40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4.25" customHeight="1">
      <c r="A100" s="41"/>
      <c r="B100" s="40"/>
      <c r="C100" s="40"/>
      <c r="D100" s="40"/>
      <c r="E100" s="40"/>
      <c r="F100" s="40"/>
      <c r="G100" s="40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4.25" customHeight="1">
      <c r="A101" s="41"/>
      <c r="B101" s="40"/>
      <c r="C101" s="40"/>
      <c r="D101" s="40"/>
      <c r="E101" s="40"/>
      <c r="F101" s="40"/>
      <c r="G101" s="40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4.25" customHeight="1">
      <c r="A102" s="41"/>
      <c r="B102" s="40"/>
      <c r="C102" s="40"/>
      <c r="D102" s="40"/>
      <c r="E102" s="40"/>
      <c r="F102" s="40"/>
      <c r="G102" s="40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4.25" customHeight="1">
      <c r="A103" s="41"/>
      <c r="B103" s="40"/>
      <c r="C103" s="40"/>
      <c r="D103" s="40"/>
      <c r="E103" s="40"/>
      <c r="F103" s="40"/>
      <c r="G103" s="40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4.25" customHeight="1">
      <c r="A104" s="41"/>
      <c r="B104" s="40"/>
      <c r="C104" s="40"/>
      <c r="D104" s="40"/>
      <c r="E104" s="40"/>
      <c r="F104" s="40"/>
      <c r="G104" s="40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4.25" customHeight="1">
      <c r="A105" s="41"/>
      <c r="B105" s="40"/>
      <c r="C105" s="40"/>
      <c r="D105" s="40"/>
      <c r="E105" s="40"/>
      <c r="F105" s="40"/>
      <c r="G105" s="40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4.25" customHeight="1">
      <c r="A106" s="41"/>
      <c r="B106" s="40"/>
      <c r="C106" s="40"/>
      <c r="D106" s="40"/>
      <c r="E106" s="40"/>
      <c r="F106" s="40"/>
      <c r="G106" s="40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4.25" customHeight="1">
      <c r="A107" s="41"/>
      <c r="B107" s="40"/>
      <c r="C107" s="40"/>
      <c r="D107" s="40"/>
      <c r="E107" s="40"/>
      <c r="F107" s="40"/>
      <c r="G107" s="40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4.25" customHeight="1">
      <c r="A108" s="41"/>
      <c r="B108" s="40"/>
      <c r="C108" s="40"/>
      <c r="D108" s="40"/>
      <c r="E108" s="40"/>
      <c r="F108" s="40"/>
      <c r="G108" s="40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4.25" customHeight="1">
      <c r="A109" s="41"/>
      <c r="B109" s="40"/>
      <c r="C109" s="40"/>
      <c r="D109" s="40"/>
      <c r="E109" s="40"/>
      <c r="F109" s="40"/>
      <c r="G109" s="40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4.25" customHeight="1">
      <c r="A110" s="41"/>
      <c r="B110" s="40"/>
      <c r="C110" s="40"/>
      <c r="D110" s="40"/>
      <c r="E110" s="40"/>
      <c r="F110" s="40"/>
      <c r="G110" s="40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4.25" customHeight="1">
      <c r="A111" s="41"/>
      <c r="B111" s="40"/>
      <c r="C111" s="40"/>
      <c r="D111" s="40"/>
      <c r="E111" s="40"/>
      <c r="F111" s="40"/>
      <c r="G111" s="40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4.25" customHeight="1">
      <c r="A112" s="41"/>
      <c r="B112" s="40"/>
      <c r="C112" s="40"/>
      <c r="D112" s="40"/>
      <c r="E112" s="40"/>
      <c r="F112" s="40"/>
      <c r="G112" s="40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4.25" customHeight="1">
      <c r="A113" s="41"/>
      <c r="B113" s="40"/>
      <c r="C113" s="40"/>
      <c r="D113" s="40"/>
      <c r="E113" s="40"/>
      <c r="F113" s="40"/>
      <c r="G113" s="40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4.25" customHeight="1">
      <c r="A114" s="41"/>
      <c r="B114" s="40"/>
      <c r="C114" s="40"/>
      <c r="D114" s="40"/>
      <c r="E114" s="40"/>
      <c r="F114" s="40"/>
      <c r="G114" s="40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4.25" customHeight="1">
      <c r="A115" s="41"/>
      <c r="B115" s="40"/>
      <c r="C115" s="40"/>
      <c r="D115" s="40"/>
      <c r="E115" s="40"/>
      <c r="F115" s="40"/>
      <c r="G115" s="40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4.25" customHeight="1">
      <c r="A116" s="41"/>
      <c r="B116" s="40"/>
      <c r="C116" s="40"/>
      <c r="D116" s="40"/>
      <c r="E116" s="40"/>
      <c r="F116" s="40"/>
      <c r="G116" s="40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4.25" customHeight="1">
      <c r="A117" s="41"/>
      <c r="B117" s="40"/>
      <c r="C117" s="40"/>
      <c r="D117" s="40"/>
      <c r="E117" s="40"/>
      <c r="F117" s="40"/>
      <c r="G117" s="40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4.25" customHeight="1">
      <c r="A118" s="41"/>
      <c r="B118" s="40"/>
      <c r="C118" s="40"/>
      <c r="D118" s="40"/>
      <c r="E118" s="40"/>
      <c r="F118" s="40"/>
      <c r="G118" s="40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4.25" customHeight="1">
      <c r="A119" s="41"/>
      <c r="B119" s="40"/>
      <c r="C119" s="40"/>
      <c r="D119" s="40"/>
      <c r="E119" s="40"/>
      <c r="F119" s="40"/>
      <c r="G119" s="40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4.25" customHeight="1">
      <c r="A120" s="41"/>
      <c r="B120" s="40"/>
      <c r="C120" s="40"/>
      <c r="D120" s="40"/>
      <c r="E120" s="40"/>
      <c r="F120" s="40"/>
      <c r="G120" s="40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4.25" customHeight="1">
      <c r="A121" s="41"/>
      <c r="B121" s="40"/>
      <c r="C121" s="40"/>
      <c r="D121" s="40"/>
      <c r="E121" s="40"/>
      <c r="F121" s="40"/>
      <c r="G121" s="40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4.25" customHeight="1">
      <c r="A122" s="41"/>
      <c r="B122" s="40"/>
      <c r="C122" s="40"/>
      <c r="D122" s="40"/>
      <c r="E122" s="40"/>
      <c r="F122" s="40"/>
      <c r="G122" s="40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4.25" customHeight="1">
      <c r="A123" s="41"/>
      <c r="B123" s="40"/>
      <c r="C123" s="40"/>
      <c r="D123" s="40"/>
      <c r="E123" s="40"/>
      <c r="F123" s="40"/>
      <c r="G123" s="40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4.25" customHeight="1">
      <c r="A124" s="41"/>
      <c r="B124" s="40"/>
      <c r="C124" s="40"/>
      <c r="D124" s="40"/>
      <c r="E124" s="40"/>
      <c r="F124" s="40"/>
      <c r="G124" s="40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4.25" customHeight="1">
      <c r="A125" s="41"/>
      <c r="B125" s="40"/>
      <c r="C125" s="40"/>
      <c r="D125" s="40"/>
      <c r="E125" s="40"/>
      <c r="F125" s="40"/>
      <c r="G125" s="40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4.25" customHeight="1">
      <c r="A126" s="41"/>
      <c r="B126" s="40"/>
      <c r="C126" s="40"/>
      <c r="D126" s="40"/>
      <c r="E126" s="40"/>
      <c r="F126" s="40"/>
      <c r="G126" s="40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4.25" customHeight="1">
      <c r="A127" s="41"/>
      <c r="B127" s="40"/>
      <c r="C127" s="40"/>
      <c r="D127" s="40"/>
      <c r="E127" s="40"/>
      <c r="F127" s="40"/>
      <c r="G127" s="40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4.25" customHeight="1">
      <c r="A128" s="41"/>
      <c r="B128" s="40"/>
      <c r="C128" s="40"/>
      <c r="D128" s="40"/>
      <c r="E128" s="40"/>
      <c r="F128" s="40"/>
      <c r="G128" s="40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4.25" customHeight="1">
      <c r="A129" s="41"/>
      <c r="B129" s="40"/>
      <c r="C129" s="40"/>
      <c r="D129" s="40"/>
      <c r="E129" s="40"/>
      <c r="F129" s="40"/>
      <c r="G129" s="40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4.25" customHeight="1">
      <c r="A130" s="41"/>
      <c r="B130" s="40"/>
      <c r="C130" s="40"/>
      <c r="D130" s="40"/>
      <c r="E130" s="40"/>
      <c r="F130" s="40"/>
      <c r="G130" s="40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4.25" customHeight="1">
      <c r="A131" s="41"/>
      <c r="B131" s="40"/>
      <c r="C131" s="40"/>
      <c r="D131" s="40"/>
      <c r="E131" s="40"/>
      <c r="F131" s="40"/>
      <c r="G131" s="40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4.25" customHeight="1">
      <c r="A132" s="41"/>
      <c r="B132" s="40"/>
      <c r="C132" s="40"/>
      <c r="D132" s="40"/>
      <c r="E132" s="40"/>
      <c r="F132" s="40"/>
      <c r="G132" s="40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4.25" customHeight="1">
      <c r="A133" s="41"/>
      <c r="B133" s="40"/>
      <c r="C133" s="40"/>
      <c r="D133" s="40"/>
      <c r="E133" s="40"/>
      <c r="F133" s="40"/>
      <c r="G133" s="40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4.25" customHeight="1">
      <c r="A134" s="41"/>
      <c r="B134" s="40"/>
      <c r="C134" s="40"/>
      <c r="D134" s="40"/>
      <c r="E134" s="40"/>
      <c r="F134" s="40"/>
      <c r="G134" s="40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4.25" customHeight="1">
      <c r="A135" s="41"/>
      <c r="B135" s="40"/>
      <c r="C135" s="40"/>
      <c r="D135" s="40"/>
      <c r="E135" s="40"/>
      <c r="F135" s="40"/>
      <c r="G135" s="40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4.25" customHeight="1">
      <c r="A136" s="41"/>
      <c r="B136" s="40"/>
      <c r="C136" s="40"/>
      <c r="D136" s="40"/>
      <c r="E136" s="40"/>
      <c r="F136" s="40"/>
      <c r="G136" s="40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4.25" customHeight="1">
      <c r="A137" s="41"/>
      <c r="B137" s="40"/>
      <c r="C137" s="40"/>
      <c r="D137" s="40"/>
      <c r="E137" s="40"/>
      <c r="F137" s="40"/>
      <c r="G137" s="40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4.25" customHeight="1">
      <c r="A138" s="41"/>
      <c r="B138" s="40"/>
      <c r="C138" s="40"/>
      <c r="D138" s="40"/>
      <c r="E138" s="40"/>
      <c r="F138" s="40"/>
      <c r="G138" s="40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4.25" customHeight="1">
      <c r="A139" s="41"/>
      <c r="B139" s="40"/>
      <c r="C139" s="40"/>
      <c r="D139" s="40"/>
      <c r="E139" s="40"/>
      <c r="F139" s="40"/>
      <c r="G139" s="40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4.25" customHeight="1">
      <c r="A140" s="41"/>
      <c r="B140" s="40"/>
      <c r="C140" s="40"/>
      <c r="D140" s="40"/>
      <c r="E140" s="40"/>
      <c r="F140" s="40"/>
      <c r="G140" s="40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4.25" customHeight="1">
      <c r="A141" s="41"/>
      <c r="B141" s="40"/>
      <c r="C141" s="40"/>
      <c r="D141" s="40"/>
      <c r="E141" s="40"/>
      <c r="F141" s="40"/>
      <c r="G141" s="40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4.25" customHeight="1">
      <c r="A142" s="41"/>
      <c r="B142" s="40"/>
      <c r="C142" s="40"/>
      <c r="D142" s="40"/>
      <c r="E142" s="40"/>
      <c r="F142" s="40"/>
      <c r="G142" s="40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4.25" customHeight="1">
      <c r="A143" s="41"/>
      <c r="B143" s="40"/>
      <c r="C143" s="40"/>
      <c r="D143" s="40"/>
      <c r="E143" s="40"/>
      <c r="F143" s="40"/>
      <c r="G143" s="40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4.25" customHeight="1">
      <c r="A144" s="41"/>
      <c r="B144" s="40"/>
      <c r="C144" s="40"/>
      <c r="D144" s="40"/>
      <c r="E144" s="40"/>
      <c r="F144" s="40"/>
      <c r="G144" s="40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4.25" customHeight="1">
      <c r="A145" s="41"/>
      <c r="B145" s="40"/>
      <c r="C145" s="40"/>
      <c r="D145" s="40"/>
      <c r="E145" s="40"/>
      <c r="F145" s="40"/>
      <c r="G145" s="40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4.25" customHeight="1">
      <c r="A146" s="41"/>
      <c r="B146" s="40"/>
      <c r="C146" s="40"/>
      <c r="D146" s="40"/>
      <c r="E146" s="40"/>
      <c r="F146" s="40"/>
      <c r="G146" s="40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4.25" customHeight="1">
      <c r="A147" s="41"/>
      <c r="B147" s="40"/>
      <c r="C147" s="40"/>
      <c r="D147" s="40"/>
      <c r="E147" s="40"/>
      <c r="F147" s="40"/>
      <c r="G147" s="40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4.25" customHeight="1">
      <c r="A148" s="41"/>
      <c r="B148" s="40"/>
      <c r="C148" s="40"/>
      <c r="D148" s="40"/>
      <c r="E148" s="40"/>
      <c r="F148" s="40"/>
      <c r="G148" s="40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4.25" customHeight="1">
      <c r="A149" s="41"/>
      <c r="B149" s="40"/>
      <c r="C149" s="40"/>
      <c r="D149" s="40"/>
      <c r="E149" s="40"/>
      <c r="F149" s="40"/>
      <c r="G149" s="40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4.25" customHeight="1">
      <c r="A150" s="41"/>
      <c r="B150" s="40"/>
      <c r="C150" s="40"/>
      <c r="D150" s="40"/>
      <c r="E150" s="40"/>
      <c r="F150" s="40"/>
      <c r="G150" s="40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4.25" customHeight="1">
      <c r="A151" s="41"/>
      <c r="B151" s="40"/>
      <c r="C151" s="40"/>
      <c r="D151" s="40"/>
      <c r="E151" s="40"/>
      <c r="F151" s="40"/>
      <c r="G151" s="40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4.25" customHeight="1">
      <c r="A152" s="41"/>
      <c r="B152" s="40"/>
      <c r="C152" s="40"/>
      <c r="D152" s="40"/>
      <c r="E152" s="40"/>
      <c r="F152" s="40"/>
      <c r="G152" s="40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4.25" customHeight="1">
      <c r="A153" s="41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4.25" customHeight="1">
      <c r="A154" s="41"/>
      <c r="B154" s="40"/>
      <c r="C154" s="40"/>
      <c r="D154" s="40"/>
      <c r="E154" s="40"/>
      <c r="F154" s="40"/>
      <c r="G154" s="40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4.25" customHeight="1">
      <c r="A155" s="41"/>
      <c r="B155" s="40"/>
      <c r="C155" s="40"/>
      <c r="D155" s="40"/>
      <c r="E155" s="40"/>
      <c r="F155" s="40"/>
      <c r="G155" s="40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4.25" customHeight="1">
      <c r="A156" s="41"/>
      <c r="B156" s="40"/>
      <c r="C156" s="40"/>
      <c r="D156" s="40"/>
      <c r="E156" s="40"/>
      <c r="F156" s="40"/>
      <c r="G156" s="40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4.25" customHeight="1">
      <c r="A157" s="41"/>
      <c r="B157" s="40"/>
      <c r="C157" s="40"/>
      <c r="D157" s="40"/>
      <c r="E157" s="40"/>
      <c r="F157" s="40"/>
      <c r="G157" s="40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4.25" customHeight="1">
      <c r="A158" s="41"/>
      <c r="B158" s="40"/>
      <c r="C158" s="40"/>
      <c r="D158" s="40"/>
      <c r="E158" s="40"/>
      <c r="F158" s="40"/>
      <c r="G158" s="40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4.25" customHeight="1">
      <c r="A159" s="41"/>
      <c r="B159" s="40"/>
      <c r="C159" s="40"/>
      <c r="D159" s="40"/>
      <c r="E159" s="40"/>
      <c r="F159" s="40"/>
      <c r="G159" s="40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4.25" customHeight="1">
      <c r="A160" s="41"/>
      <c r="B160" s="40"/>
      <c r="C160" s="40"/>
      <c r="D160" s="40"/>
      <c r="E160" s="40"/>
      <c r="F160" s="40"/>
      <c r="G160" s="40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4.25" customHeight="1">
      <c r="A161" s="41"/>
      <c r="B161" s="40"/>
      <c r="C161" s="40"/>
      <c r="D161" s="40"/>
      <c r="E161" s="40"/>
      <c r="F161" s="40"/>
      <c r="G161" s="40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4.25" customHeight="1">
      <c r="A162" s="41"/>
      <c r="B162" s="40"/>
      <c r="C162" s="40"/>
      <c r="D162" s="40"/>
      <c r="E162" s="40"/>
      <c r="F162" s="40"/>
      <c r="G162" s="40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4.25" customHeight="1">
      <c r="A163" s="41"/>
      <c r="B163" s="40"/>
      <c r="C163" s="40"/>
      <c r="D163" s="40"/>
      <c r="E163" s="40"/>
      <c r="F163" s="40"/>
      <c r="G163" s="40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4.25" customHeight="1">
      <c r="A164" s="41"/>
      <c r="B164" s="40"/>
      <c r="C164" s="40"/>
      <c r="D164" s="40"/>
      <c r="E164" s="40"/>
      <c r="F164" s="40"/>
      <c r="G164" s="40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4.25" customHeight="1">
      <c r="A165" s="41"/>
      <c r="B165" s="40"/>
      <c r="C165" s="40"/>
      <c r="D165" s="40"/>
      <c r="E165" s="40"/>
      <c r="F165" s="40"/>
      <c r="G165" s="40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4.25" customHeight="1">
      <c r="A166" s="41"/>
      <c r="B166" s="40"/>
      <c r="C166" s="40"/>
      <c r="D166" s="40"/>
      <c r="E166" s="40"/>
      <c r="F166" s="40"/>
      <c r="G166" s="40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4.25" customHeight="1">
      <c r="A167" s="41"/>
      <c r="B167" s="40"/>
      <c r="C167" s="40"/>
      <c r="D167" s="40"/>
      <c r="E167" s="40"/>
      <c r="F167" s="40"/>
      <c r="G167" s="40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4.25" customHeight="1">
      <c r="A168" s="41"/>
      <c r="B168" s="40"/>
      <c r="C168" s="40"/>
      <c r="D168" s="40"/>
      <c r="E168" s="40"/>
      <c r="F168" s="40"/>
      <c r="G168" s="40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4.25" customHeight="1">
      <c r="A169" s="41"/>
      <c r="B169" s="40"/>
      <c r="C169" s="40"/>
      <c r="D169" s="40"/>
      <c r="E169" s="40"/>
      <c r="F169" s="40"/>
      <c r="G169" s="40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4.25" customHeight="1">
      <c r="A170" s="41"/>
      <c r="B170" s="40"/>
      <c r="C170" s="40"/>
      <c r="D170" s="40"/>
      <c r="E170" s="40"/>
      <c r="F170" s="40"/>
      <c r="G170" s="40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4.25" customHeight="1">
      <c r="A171" s="41"/>
      <c r="B171" s="40"/>
      <c r="C171" s="40"/>
      <c r="D171" s="40"/>
      <c r="E171" s="40"/>
      <c r="F171" s="40"/>
      <c r="G171" s="40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4.25" customHeight="1">
      <c r="A172" s="41"/>
      <c r="B172" s="40"/>
      <c r="C172" s="40"/>
      <c r="D172" s="40"/>
      <c r="E172" s="40"/>
      <c r="F172" s="40"/>
      <c r="G172" s="40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4.25" customHeight="1">
      <c r="A173" s="41"/>
      <c r="B173" s="40"/>
      <c r="C173" s="40"/>
      <c r="D173" s="40"/>
      <c r="E173" s="40"/>
      <c r="F173" s="40"/>
      <c r="G173" s="40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4.25" customHeight="1">
      <c r="A174" s="41"/>
      <c r="B174" s="40"/>
      <c r="C174" s="40"/>
      <c r="D174" s="40"/>
      <c r="E174" s="40"/>
      <c r="F174" s="40"/>
      <c r="G174" s="40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4.25" customHeight="1">
      <c r="A175" s="41"/>
      <c r="B175" s="40"/>
      <c r="C175" s="40"/>
      <c r="D175" s="40"/>
      <c r="E175" s="40"/>
      <c r="F175" s="40"/>
      <c r="G175" s="40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4.25" customHeight="1">
      <c r="A176" s="41"/>
      <c r="B176" s="40"/>
      <c r="C176" s="40"/>
      <c r="D176" s="40"/>
      <c r="E176" s="40"/>
      <c r="F176" s="40"/>
      <c r="G176" s="40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4.25" customHeight="1">
      <c r="A177" s="41"/>
      <c r="B177" s="40"/>
      <c r="C177" s="40"/>
      <c r="D177" s="40"/>
      <c r="E177" s="40"/>
      <c r="F177" s="40"/>
      <c r="G177" s="40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4.25" customHeight="1">
      <c r="A178" s="41"/>
      <c r="B178" s="40"/>
      <c r="C178" s="40"/>
      <c r="D178" s="40"/>
      <c r="E178" s="40"/>
      <c r="F178" s="40"/>
      <c r="G178" s="40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4.25" customHeight="1">
      <c r="A179" s="41"/>
      <c r="B179" s="40"/>
      <c r="C179" s="40"/>
      <c r="D179" s="40"/>
      <c r="E179" s="40"/>
      <c r="F179" s="40"/>
      <c r="G179" s="40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4.25" customHeight="1">
      <c r="A180" s="41"/>
      <c r="B180" s="40"/>
      <c r="C180" s="40"/>
      <c r="D180" s="40"/>
      <c r="E180" s="40"/>
      <c r="F180" s="40"/>
      <c r="G180" s="40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4.25" customHeight="1">
      <c r="A181" s="41"/>
      <c r="B181" s="40"/>
      <c r="C181" s="40"/>
      <c r="D181" s="40"/>
      <c r="E181" s="40"/>
      <c r="F181" s="40"/>
      <c r="G181" s="40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4.25" customHeight="1">
      <c r="A182" s="41"/>
      <c r="B182" s="40"/>
      <c r="C182" s="40"/>
      <c r="D182" s="40"/>
      <c r="E182" s="40"/>
      <c r="F182" s="40"/>
      <c r="G182" s="40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4.25" customHeight="1">
      <c r="A183" s="41"/>
      <c r="B183" s="40"/>
      <c r="C183" s="40"/>
      <c r="D183" s="40"/>
      <c r="E183" s="40"/>
      <c r="F183" s="40"/>
      <c r="G183" s="40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4.25" customHeight="1">
      <c r="A184" s="41"/>
      <c r="B184" s="40"/>
      <c r="C184" s="40"/>
      <c r="D184" s="40"/>
      <c r="E184" s="40"/>
      <c r="F184" s="40"/>
      <c r="G184" s="40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4.25" customHeight="1">
      <c r="A185" s="41"/>
      <c r="B185" s="40"/>
      <c r="C185" s="40"/>
      <c r="D185" s="40"/>
      <c r="E185" s="40"/>
      <c r="F185" s="40"/>
      <c r="G185" s="40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4.25" customHeight="1">
      <c r="A186" s="41"/>
      <c r="B186" s="40"/>
      <c r="C186" s="40"/>
      <c r="D186" s="40"/>
      <c r="E186" s="40"/>
      <c r="F186" s="40"/>
      <c r="G186" s="40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4.25" customHeight="1">
      <c r="A187" s="41"/>
      <c r="B187" s="40"/>
      <c r="C187" s="40"/>
      <c r="D187" s="40"/>
      <c r="E187" s="40"/>
      <c r="F187" s="40"/>
      <c r="G187" s="40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4.25" customHeight="1">
      <c r="A188" s="41"/>
      <c r="B188" s="40"/>
      <c r="C188" s="40"/>
      <c r="D188" s="40"/>
      <c r="E188" s="40"/>
      <c r="F188" s="40"/>
      <c r="G188" s="40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4.25" customHeight="1">
      <c r="A189" s="41"/>
      <c r="B189" s="40"/>
      <c r="C189" s="40"/>
      <c r="D189" s="40"/>
      <c r="E189" s="40"/>
      <c r="F189" s="40"/>
      <c r="G189" s="40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4.25" customHeight="1">
      <c r="A190" s="41"/>
      <c r="B190" s="40"/>
      <c r="C190" s="40"/>
      <c r="D190" s="40"/>
      <c r="E190" s="40"/>
      <c r="F190" s="40"/>
      <c r="G190" s="40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4.25" customHeight="1">
      <c r="A191" s="41"/>
      <c r="B191" s="40"/>
      <c r="C191" s="40"/>
      <c r="D191" s="40"/>
      <c r="E191" s="40"/>
      <c r="F191" s="40"/>
      <c r="G191" s="40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4.25" customHeight="1">
      <c r="A192" s="41"/>
      <c r="B192" s="40"/>
      <c r="C192" s="40"/>
      <c r="D192" s="40"/>
      <c r="E192" s="40"/>
      <c r="F192" s="40"/>
      <c r="G192" s="40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4.25" customHeight="1">
      <c r="A193" s="41"/>
      <c r="B193" s="40"/>
      <c r="C193" s="40"/>
      <c r="D193" s="40"/>
      <c r="E193" s="40"/>
      <c r="F193" s="40"/>
      <c r="G193" s="40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4.25" customHeight="1">
      <c r="A194" s="41"/>
      <c r="B194" s="40"/>
      <c r="C194" s="40"/>
      <c r="D194" s="40"/>
      <c r="E194" s="40"/>
      <c r="F194" s="40"/>
      <c r="G194" s="40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4.25" customHeight="1">
      <c r="A195" s="41"/>
      <c r="B195" s="40"/>
      <c r="C195" s="40"/>
      <c r="D195" s="40"/>
      <c r="E195" s="40"/>
      <c r="F195" s="40"/>
      <c r="G195" s="40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4.25" customHeight="1">
      <c r="A196" s="41"/>
      <c r="B196" s="40"/>
      <c r="C196" s="40"/>
      <c r="D196" s="40"/>
      <c r="E196" s="40"/>
      <c r="F196" s="40"/>
      <c r="G196" s="40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4.25" customHeight="1">
      <c r="A197" s="41"/>
      <c r="B197" s="40"/>
      <c r="C197" s="40"/>
      <c r="D197" s="40"/>
      <c r="E197" s="40"/>
      <c r="F197" s="40"/>
      <c r="G197" s="40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4.25" customHeight="1">
      <c r="A198" s="41"/>
      <c r="B198" s="40"/>
      <c r="C198" s="40"/>
      <c r="D198" s="40"/>
      <c r="E198" s="40"/>
      <c r="F198" s="40"/>
      <c r="G198" s="40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4.25" customHeight="1">
      <c r="A199" s="41"/>
      <c r="B199" s="40"/>
      <c r="C199" s="40"/>
      <c r="D199" s="40"/>
      <c r="E199" s="40"/>
      <c r="F199" s="40"/>
      <c r="G199" s="40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4.25" customHeight="1">
      <c r="A200" s="41"/>
      <c r="B200" s="40"/>
      <c r="C200" s="40"/>
      <c r="D200" s="40"/>
      <c r="E200" s="40"/>
      <c r="F200" s="40"/>
      <c r="G200" s="40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4.25" customHeight="1">
      <c r="A201" s="41"/>
      <c r="B201" s="40"/>
      <c r="C201" s="40"/>
      <c r="D201" s="40"/>
      <c r="E201" s="40"/>
      <c r="F201" s="40"/>
      <c r="G201" s="40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4.25" customHeight="1">
      <c r="A202" s="41"/>
      <c r="B202" s="40"/>
      <c r="C202" s="40"/>
      <c r="D202" s="40"/>
      <c r="E202" s="40"/>
      <c r="F202" s="40"/>
      <c r="G202" s="40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4.25" customHeight="1">
      <c r="A203" s="41"/>
      <c r="B203" s="40"/>
      <c r="C203" s="40"/>
      <c r="D203" s="40"/>
      <c r="E203" s="40"/>
      <c r="F203" s="40"/>
      <c r="G203" s="40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4.25" customHeight="1">
      <c r="A204" s="41"/>
      <c r="B204" s="40"/>
      <c r="C204" s="40"/>
      <c r="D204" s="40"/>
      <c r="E204" s="40"/>
      <c r="F204" s="40"/>
      <c r="G204" s="40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4.25" customHeight="1">
      <c r="A205" s="41"/>
      <c r="B205" s="40"/>
      <c r="C205" s="40"/>
      <c r="D205" s="40"/>
      <c r="E205" s="40"/>
      <c r="F205" s="40"/>
      <c r="G205" s="40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4.25" customHeight="1">
      <c r="A206" s="41"/>
      <c r="B206" s="40"/>
      <c r="C206" s="40"/>
      <c r="D206" s="40"/>
      <c r="E206" s="40"/>
      <c r="F206" s="40"/>
      <c r="G206" s="40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4.25" customHeight="1">
      <c r="A207" s="41"/>
      <c r="B207" s="40"/>
      <c r="C207" s="40"/>
      <c r="D207" s="40"/>
      <c r="E207" s="40"/>
      <c r="F207" s="40"/>
      <c r="G207" s="40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4.25" customHeight="1">
      <c r="A208" s="41"/>
      <c r="B208" s="40"/>
      <c r="C208" s="40"/>
      <c r="D208" s="40"/>
      <c r="E208" s="40"/>
      <c r="F208" s="40"/>
      <c r="G208" s="40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4.25" customHeight="1">
      <c r="A209" s="41"/>
      <c r="B209" s="40"/>
      <c r="C209" s="40"/>
      <c r="D209" s="40"/>
      <c r="E209" s="40"/>
      <c r="F209" s="40"/>
      <c r="G209" s="40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4.25" customHeight="1">
      <c r="A210" s="41"/>
      <c r="B210" s="40"/>
      <c r="C210" s="40"/>
      <c r="D210" s="40"/>
      <c r="E210" s="40"/>
      <c r="F210" s="40"/>
      <c r="G210" s="40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4.25" customHeight="1">
      <c r="A211" s="41"/>
      <c r="B211" s="40"/>
      <c r="C211" s="40"/>
      <c r="D211" s="40"/>
      <c r="E211" s="40"/>
      <c r="F211" s="40"/>
      <c r="G211" s="40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4.25" customHeight="1">
      <c r="A212" s="41"/>
      <c r="B212" s="40"/>
      <c r="C212" s="40"/>
      <c r="D212" s="40"/>
      <c r="E212" s="40"/>
      <c r="F212" s="40"/>
      <c r="G212" s="40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4.25" customHeight="1">
      <c r="A213" s="41"/>
      <c r="B213" s="40"/>
      <c r="C213" s="40"/>
      <c r="D213" s="40"/>
      <c r="E213" s="40"/>
      <c r="F213" s="40"/>
      <c r="G213" s="40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4.25" customHeight="1">
      <c r="A214" s="41"/>
      <c r="B214" s="40"/>
      <c r="C214" s="40"/>
      <c r="D214" s="40"/>
      <c r="E214" s="40"/>
      <c r="F214" s="40"/>
      <c r="G214" s="40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4.25" customHeight="1">
      <c r="A215" s="41"/>
      <c r="B215" s="40"/>
      <c r="C215" s="40"/>
      <c r="D215" s="40"/>
      <c r="E215" s="40"/>
      <c r="F215" s="40"/>
      <c r="G215" s="40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4.25" customHeight="1">
      <c r="A216" s="41"/>
      <c r="B216" s="40"/>
      <c r="C216" s="40"/>
      <c r="D216" s="40"/>
      <c r="E216" s="40"/>
      <c r="F216" s="40"/>
      <c r="G216" s="40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4.25" customHeight="1">
      <c r="A217" s="41"/>
      <c r="B217" s="40"/>
      <c r="C217" s="40"/>
      <c r="D217" s="40"/>
      <c r="E217" s="40"/>
      <c r="F217" s="40"/>
      <c r="G217" s="40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4.25" customHeight="1">
      <c r="A218" s="41"/>
      <c r="B218" s="40"/>
      <c r="C218" s="40"/>
      <c r="D218" s="40"/>
      <c r="E218" s="40"/>
      <c r="F218" s="40"/>
      <c r="G218" s="40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4.25" customHeight="1">
      <c r="A219" s="41"/>
      <c r="B219" s="40"/>
      <c r="C219" s="40"/>
      <c r="D219" s="40"/>
      <c r="E219" s="40"/>
      <c r="F219" s="40"/>
      <c r="G219" s="40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4.25" customHeight="1">
      <c r="A220" s="41"/>
      <c r="B220" s="40"/>
      <c r="C220" s="40"/>
      <c r="D220" s="40"/>
      <c r="E220" s="40"/>
      <c r="F220" s="40"/>
      <c r="G220" s="40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4.25" customHeight="1">
      <c r="A221" s="41"/>
      <c r="B221" s="40"/>
      <c r="C221" s="40"/>
      <c r="D221" s="40"/>
      <c r="E221" s="40"/>
      <c r="F221" s="40"/>
      <c r="G221" s="40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4.25" customHeight="1">
      <c r="A222" s="41"/>
      <c r="B222" s="40"/>
      <c r="C222" s="40"/>
      <c r="D222" s="40"/>
      <c r="E222" s="40"/>
      <c r="F222" s="40"/>
      <c r="G222" s="40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4.25" customHeight="1">
      <c r="A223" s="41"/>
      <c r="B223" s="40"/>
      <c r="C223" s="40"/>
      <c r="D223" s="40"/>
      <c r="E223" s="40"/>
      <c r="F223" s="40"/>
      <c r="G223" s="40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4.25" customHeight="1">
      <c r="A224" s="41"/>
      <c r="B224" s="40"/>
      <c r="C224" s="40"/>
      <c r="D224" s="40"/>
      <c r="E224" s="40"/>
      <c r="F224" s="40"/>
      <c r="G224" s="40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4.25" customHeight="1">
      <c r="A225" s="41"/>
      <c r="B225" s="40"/>
      <c r="C225" s="40"/>
      <c r="D225" s="40"/>
      <c r="E225" s="40"/>
      <c r="F225" s="40"/>
      <c r="G225" s="40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4.25" customHeight="1">
      <c r="A226" s="41"/>
      <c r="B226" s="40"/>
      <c r="C226" s="40"/>
      <c r="D226" s="40"/>
      <c r="E226" s="40"/>
      <c r="F226" s="40"/>
      <c r="G226" s="40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4.25" customHeight="1">
      <c r="A227" s="41"/>
      <c r="B227" s="40"/>
      <c r="C227" s="40"/>
      <c r="D227" s="40"/>
      <c r="E227" s="40"/>
      <c r="F227" s="40"/>
      <c r="G227" s="40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4.25" customHeight="1">
      <c r="A228" s="41"/>
      <c r="B228" s="40"/>
      <c r="C228" s="40"/>
      <c r="D228" s="40"/>
      <c r="E228" s="40"/>
      <c r="F228" s="40"/>
      <c r="G228" s="40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4.25" customHeight="1">
      <c r="A229" s="41"/>
      <c r="B229" s="40"/>
      <c r="C229" s="40"/>
      <c r="D229" s="40"/>
      <c r="E229" s="40"/>
      <c r="F229" s="40"/>
      <c r="G229" s="40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4.25" customHeight="1">
      <c r="A230" s="41"/>
      <c r="B230" s="40"/>
      <c r="C230" s="40"/>
      <c r="D230" s="40"/>
      <c r="E230" s="40"/>
      <c r="F230" s="40"/>
      <c r="G230" s="40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4.25" customHeight="1">
      <c r="A231" s="41"/>
      <c r="B231" s="40"/>
      <c r="C231" s="40"/>
      <c r="D231" s="40"/>
      <c r="E231" s="40"/>
      <c r="F231" s="40"/>
      <c r="G231" s="40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4.25" customHeight="1">
      <c r="A232" s="41"/>
      <c r="B232" s="40"/>
      <c r="C232" s="40"/>
      <c r="D232" s="40"/>
      <c r="E232" s="40"/>
      <c r="F232" s="40"/>
      <c r="G232" s="40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4.25" customHeight="1">
      <c r="A233" s="41"/>
      <c r="B233" s="40"/>
      <c r="C233" s="40"/>
      <c r="D233" s="40"/>
      <c r="E233" s="40"/>
      <c r="F233" s="40"/>
      <c r="G233" s="40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4.25" customHeight="1">
      <c r="A234" s="41"/>
      <c r="B234" s="40"/>
      <c r="C234" s="40"/>
      <c r="D234" s="40"/>
      <c r="E234" s="40"/>
      <c r="F234" s="40"/>
      <c r="G234" s="40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4.25" customHeight="1">
      <c r="A235" s="41"/>
      <c r="B235" s="40"/>
      <c r="C235" s="40"/>
      <c r="D235" s="40"/>
      <c r="E235" s="40"/>
      <c r="F235" s="40"/>
      <c r="G235" s="40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4.25" customHeight="1">
      <c r="A236" s="41"/>
      <c r="B236" s="40"/>
      <c r="C236" s="40"/>
      <c r="D236" s="40"/>
      <c r="E236" s="40"/>
      <c r="F236" s="40"/>
      <c r="G236" s="40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4.25" customHeight="1">
      <c r="A237" s="41"/>
      <c r="B237" s="40"/>
      <c r="C237" s="40"/>
      <c r="D237" s="40"/>
      <c r="E237" s="40"/>
      <c r="F237" s="40"/>
      <c r="G237" s="40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4.25" customHeight="1">
      <c r="A238" s="41"/>
      <c r="B238" s="40"/>
      <c r="C238" s="40"/>
      <c r="D238" s="40"/>
      <c r="E238" s="40"/>
      <c r="F238" s="40"/>
      <c r="G238" s="40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4.25" customHeight="1">
      <c r="A239" s="41"/>
      <c r="B239" s="40"/>
      <c r="C239" s="40"/>
      <c r="D239" s="40"/>
      <c r="E239" s="40"/>
      <c r="F239" s="40"/>
      <c r="G239" s="40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4.25" customHeight="1">
      <c r="A240" s="41"/>
      <c r="B240" s="40"/>
      <c r="C240" s="40"/>
      <c r="D240" s="40"/>
      <c r="E240" s="40"/>
      <c r="F240" s="40"/>
      <c r="G240" s="40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4.25" customHeight="1">
      <c r="A241" s="41"/>
      <c r="B241" s="40"/>
      <c r="C241" s="40"/>
      <c r="D241" s="40"/>
      <c r="E241" s="40"/>
      <c r="F241" s="40"/>
      <c r="G241" s="40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4.25" customHeight="1">
      <c r="A242" s="41"/>
      <c r="B242" s="40"/>
      <c r="C242" s="40"/>
      <c r="D242" s="40"/>
      <c r="E242" s="40"/>
      <c r="F242" s="40"/>
      <c r="G242" s="40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4.25" customHeight="1">
      <c r="A243" s="41"/>
      <c r="B243" s="40"/>
      <c r="C243" s="40"/>
      <c r="D243" s="40"/>
      <c r="E243" s="40"/>
      <c r="F243" s="40"/>
      <c r="G243" s="40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4.25" customHeight="1">
      <c r="A244" s="41"/>
      <c r="B244" s="40"/>
      <c r="C244" s="40"/>
      <c r="D244" s="40"/>
      <c r="E244" s="40"/>
      <c r="F244" s="40"/>
      <c r="G244" s="40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4.25" customHeight="1">
      <c r="A245" s="41"/>
      <c r="B245" s="40"/>
      <c r="C245" s="40"/>
      <c r="D245" s="40"/>
      <c r="E245" s="40"/>
      <c r="F245" s="40"/>
      <c r="G245" s="40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4.25" customHeight="1">
      <c r="A246" s="41"/>
      <c r="B246" s="40"/>
      <c r="C246" s="40"/>
      <c r="D246" s="40"/>
      <c r="E246" s="40"/>
      <c r="F246" s="40"/>
      <c r="G246" s="40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4.25" customHeight="1">
      <c r="A247" s="41"/>
      <c r="B247" s="40"/>
      <c r="C247" s="40"/>
      <c r="D247" s="40"/>
      <c r="E247" s="40"/>
      <c r="F247" s="40"/>
      <c r="G247" s="40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4.25" customHeight="1">
      <c r="A248" s="41"/>
      <c r="B248" s="40"/>
      <c r="C248" s="40"/>
      <c r="D248" s="40"/>
      <c r="E248" s="40"/>
      <c r="F248" s="40"/>
      <c r="G248" s="40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4.25" customHeight="1">
      <c r="A249" s="41"/>
      <c r="B249" s="40"/>
      <c r="C249" s="40"/>
      <c r="D249" s="40"/>
      <c r="E249" s="40"/>
      <c r="F249" s="40"/>
      <c r="G249" s="40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4.25" customHeight="1">
      <c r="A250" s="41"/>
      <c r="B250" s="40"/>
      <c r="C250" s="40"/>
      <c r="D250" s="40"/>
      <c r="E250" s="40"/>
      <c r="F250" s="40"/>
      <c r="G250" s="40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4.25" customHeight="1">
      <c r="A251" s="41"/>
      <c r="B251" s="40"/>
      <c r="C251" s="40"/>
      <c r="D251" s="40"/>
      <c r="E251" s="40"/>
      <c r="F251" s="40"/>
      <c r="G251" s="40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4.25" customHeight="1">
      <c r="A252" s="41"/>
      <c r="B252" s="40"/>
      <c r="C252" s="40"/>
      <c r="D252" s="40"/>
      <c r="E252" s="40"/>
      <c r="F252" s="40"/>
      <c r="G252" s="40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4.25" customHeight="1">
      <c r="A253" s="41"/>
      <c r="B253" s="40"/>
      <c r="C253" s="40"/>
      <c r="D253" s="40"/>
      <c r="E253" s="40"/>
      <c r="F253" s="40"/>
      <c r="G253" s="40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4.25" customHeight="1">
      <c r="A254" s="41"/>
      <c r="B254" s="40"/>
      <c r="C254" s="40"/>
      <c r="D254" s="40"/>
      <c r="E254" s="40"/>
      <c r="F254" s="40"/>
      <c r="G254" s="40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4.25" customHeight="1">
      <c r="A255" s="41"/>
      <c r="B255" s="40"/>
      <c r="C255" s="40"/>
      <c r="D255" s="40"/>
      <c r="E255" s="40"/>
      <c r="F255" s="40"/>
      <c r="G255" s="40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4.25" customHeight="1">
      <c r="A256" s="41"/>
      <c r="B256" s="40"/>
      <c r="C256" s="40"/>
      <c r="D256" s="40"/>
      <c r="E256" s="40"/>
      <c r="F256" s="40"/>
      <c r="G256" s="40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4.25" customHeight="1">
      <c r="A257" s="41"/>
      <c r="B257" s="40"/>
      <c r="C257" s="40"/>
      <c r="D257" s="40"/>
      <c r="E257" s="40"/>
      <c r="F257" s="40"/>
      <c r="G257" s="40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4.25" customHeight="1">
      <c r="A258" s="41"/>
      <c r="B258" s="40"/>
      <c r="C258" s="40"/>
      <c r="D258" s="40"/>
      <c r="E258" s="40"/>
      <c r="F258" s="40"/>
      <c r="G258" s="40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4.25" customHeight="1">
      <c r="A259" s="41"/>
      <c r="B259" s="40"/>
      <c r="C259" s="40"/>
      <c r="D259" s="40"/>
      <c r="E259" s="40"/>
      <c r="F259" s="40"/>
      <c r="G259" s="40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4.25" customHeight="1">
      <c r="A260" s="41"/>
      <c r="B260" s="40"/>
      <c r="C260" s="40"/>
      <c r="D260" s="40"/>
      <c r="E260" s="40"/>
      <c r="F260" s="40"/>
      <c r="G260" s="40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4.25" customHeight="1">
      <c r="A261" s="41"/>
      <c r="B261" s="40"/>
      <c r="C261" s="40"/>
      <c r="D261" s="40"/>
      <c r="E261" s="40"/>
      <c r="F261" s="40"/>
      <c r="G261" s="40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4.25" customHeight="1">
      <c r="A262" s="41"/>
      <c r="B262" s="40"/>
      <c r="C262" s="40"/>
      <c r="D262" s="40"/>
      <c r="E262" s="40"/>
      <c r="F262" s="40"/>
      <c r="G262" s="40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4.25" customHeight="1">
      <c r="A263" s="41"/>
      <c r="B263" s="40"/>
      <c r="C263" s="40"/>
      <c r="D263" s="40"/>
      <c r="E263" s="40"/>
      <c r="F263" s="40"/>
      <c r="G263" s="40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4.25" customHeight="1">
      <c r="A264" s="41"/>
      <c r="B264" s="40"/>
      <c r="C264" s="40"/>
      <c r="D264" s="40"/>
      <c r="E264" s="40"/>
      <c r="F264" s="40"/>
      <c r="G264" s="40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4.25" customHeight="1">
      <c r="A265" s="41"/>
      <c r="B265" s="40"/>
      <c r="C265" s="40"/>
      <c r="D265" s="40"/>
      <c r="E265" s="40"/>
      <c r="F265" s="40"/>
      <c r="G265" s="40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4.25" customHeight="1">
      <c r="A266" s="41"/>
      <c r="B266" s="40"/>
      <c r="C266" s="40"/>
      <c r="D266" s="40"/>
      <c r="E266" s="40"/>
      <c r="F266" s="40"/>
      <c r="G266" s="40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4.25" customHeight="1">
      <c r="A267" s="41"/>
      <c r="B267" s="40"/>
      <c r="C267" s="40"/>
      <c r="D267" s="40"/>
      <c r="E267" s="40"/>
      <c r="F267" s="40"/>
      <c r="G267" s="40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4.25" customHeight="1">
      <c r="A268" s="41"/>
      <c r="B268" s="40"/>
      <c r="C268" s="40"/>
      <c r="D268" s="40"/>
      <c r="E268" s="40"/>
      <c r="F268" s="40"/>
      <c r="G268" s="40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4.25" customHeight="1">
      <c r="A269" s="41"/>
      <c r="B269" s="40"/>
      <c r="C269" s="40"/>
      <c r="D269" s="40"/>
      <c r="E269" s="40"/>
      <c r="F269" s="40"/>
      <c r="G269" s="40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4.25" customHeight="1">
      <c r="A270" s="41"/>
      <c r="B270" s="40"/>
      <c r="C270" s="40"/>
      <c r="D270" s="40"/>
      <c r="E270" s="40"/>
      <c r="F270" s="40"/>
      <c r="G270" s="40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4.25" customHeight="1">
      <c r="A271" s="41"/>
      <c r="B271" s="40"/>
      <c r="C271" s="40"/>
      <c r="D271" s="40"/>
      <c r="E271" s="40"/>
      <c r="F271" s="40"/>
      <c r="G271" s="40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4.25" customHeight="1">
      <c r="A272" s="41"/>
      <c r="B272" s="40"/>
      <c r="C272" s="40"/>
      <c r="D272" s="40"/>
      <c r="E272" s="40"/>
      <c r="F272" s="40"/>
      <c r="G272" s="40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4.25" customHeight="1">
      <c r="A273" s="41"/>
      <c r="B273" s="40"/>
      <c r="C273" s="40"/>
      <c r="D273" s="40"/>
      <c r="E273" s="40"/>
      <c r="F273" s="40"/>
      <c r="G273" s="40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4.25" customHeight="1">
      <c r="A274" s="41"/>
      <c r="B274" s="40"/>
      <c r="C274" s="40"/>
      <c r="D274" s="40"/>
      <c r="E274" s="40"/>
      <c r="F274" s="40"/>
      <c r="G274" s="40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4.25" customHeight="1">
      <c r="A275" s="41"/>
      <c r="B275" s="40"/>
      <c r="C275" s="40"/>
      <c r="D275" s="40"/>
      <c r="E275" s="40"/>
      <c r="F275" s="40"/>
      <c r="G275" s="40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4.25" customHeight="1">
      <c r="A276" s="41"/>
      <c r="B276" s="40"/>
      <c r="C276" s="40"/>
      <c r="D276" s="40"/>
      <c r="E276" s="40"/>
      <c r="F276" s="40"/>
      <c r="G276" s="40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4.25" customHeight="1">
      <c r="A277" s="41"/>
      <c r="B277" s="40"/>
      <c r="C277" s="40"/>
      <c r="D277" s="40"/>
      <c r="E277" s="40"/>
      <c r="F277" s="40"/>
      <c r="G277" s="40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4.25" customHeight="1">
      <c r="A278" s="41"/>
      <c r="B278" s="40"/>
      <c r="C278" s="40"/>
      <c r="D278" s="40"/>
      <c r="E278" s="40"/>
      <c r="F278" s="40"/>
      <c r="G278" s="40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4.25" customHeight="1">
      <c r="A279" s="41"/>
      <c r="B279" s="40"/>
      <c r="C279" s="40"/>
      <c r="D279" s="40"/>
      <c r="E279" s="40"/>
      <c r="F279" s="40"/>
      <c r="G279" s="40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4.25" customHeight="1">
      <c r="A280" s="41"/>
      <c r="B280" s="40"/>
      <c r="C280" s="40"/>
      <c r="D280" s="40"/>
      <c r="E280" s="40"/>
      <c r="F280" s="40"/>
      <c r="G280" s="40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4.25" customHeight="1">
      <c r="A281" s="41"/>
      <c r="B281" s="40"/>
      <c r="C281" s="40"/>
      <c r="D281" s="40"/>
      <c r="E281" s="40"/>
      <c r="F281" s="40"/>
      <c r="G281" s="40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4.25" customHeight="1">
      <c r="A282" s="41"/>
      <c r="B282" s="40"/>
      <c r="C282" s="40"/>
      <c r="D282" s="40"/>
      <c r="E282" s="40"/>
      <c r="F282" s="40"/>
      <c r="G282" s="40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4.25" customHeight="1">
      <c r="A283" s="41"/>
      <c r="B283" s="40"/>
      <c r="C283" s="40"/>
      <c r="D283" s="40"/>
      <c r="E283" s="40"/>
      <c r="F283" s="40"/>
      <c r="G283" s="40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4.25" customHeight="1">
      <c r="A284" s="41"/>
      <c r="B284" s="40"/>
      <c r="C284" s="40"/>
      <c r="D284" s="40"/>
      <c r="E284" s="40"/>
      <c r="F284" s="40"/>
      <c r="G284" s="40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4.25" customHeight="1">
      <c r="A285" s="41"/>
      <c r="B285" s="40"/>
      <c r="C285" s="40"/>
      <c r="D285" s="40"/>
      <c r="E285" s="40"/>
      <c r="F285" s="40"/>
      <c r="G285" s="40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4.25" customHeight="1">
      <c r="A286" s="41"/>
      <c r="B286" s="40"/>
      <c r="C286" s="40"/>
      <c r="D286" s="40"/>
      <c r="E286" s="40"/>
      <c r="F286" s="40"/>
      <c r="G286" s="40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4.25" customHeight="1">
      <c r="A287" s="41"/>
      <c r="B287" s="40"/>
      <c r="C287" s="40"/>
      <c r="D287" s="40"/>
      <c r="E287" s="40"/>
      <c r="F287" s="40"/>
      <c r="G287" s="40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4.25" customHeight="1">
      <c r="A288" s="41"/>
      <c r="B288" s="40"/>
      <c r="C288" s="40"/>
      <c r="D288" s="40"/>
      <c r="E288" s="40"/>
      <c r="F288" s="40"/>
      <c r="G288" s="40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4.25" customHeight="1">
      <c r="A289" s="41"/>
      <c r="B289" s="40"/>
      <c r="C289" s="40"/>
      <c r="D289" s="40"/>
      <c r="E289" s="40"/>
      <c r="F289" s="40"/>
      <c r="G289" s="40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4.25" customHeight="1">
      <c r="A290" s="41"/>
      <c r="B290" s="40"/>
      <c r="C290" s="40"/>
      <c r="D290" s="40"/>
      <c r="E290" s="40"/>
      <c r="F290" s="40"/>
      <c r="G290" s="40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4.25" customHeight="1">
      <c r="A291" s="41"/>
      <c r="B291" s="40"/>
      <c r="C291" s="40"/>
      <c r="D291" s="40"/>
      <c r="E291" s="40"/>
      <c r="F291" s="40"/>
      <c r="G291" s="40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4.25" customHeight="1">
      <c r="A292" s="41"/>
      <c r="B292" s="40"/>
      <c r="C292" s="40"/>
      <c r="D292" s="40"/>
      <c r="E292" s="40"/>
      <c r="F292" s="40"/>
      <c r="G292" s="40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4.25" customHeight="1">
      <c r="A293" s="41"/>
      <c r="B293" s="40"/>
      <c r="C293" s="40"/>
      <c r="D293" s="40"/>
      <c r="E293" s="40"/>
      <c r="F293" s="40"/>
      <c r="G293" s="40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4.25" customHeight="1">
      <c r="A294" s="41"/>
      <c r="B294" s="40"/>
      <c r="C294" s="40"/>
      <c r="D294" s="40"/>
      <c r="E294" s="40"/>
      <c r="F294" s="40"/>
      <c r="G294" s="40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4.25" customHeight="1">
      <c r="A295" s="41"/>
      <c r="B295" s="40"/>
      <c r="C295" s="40"/>
      <c r="D295" s="40"/>
      <c r="E295" s="40"/>
      <c r="F295" s="40"/>
      <c r="G295" s="40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4.25" customHeight="1">
      <c r="A296" s="41"/>
      <c r="B296" s="40"/>
      <c r="C296" s="40"/>
      <c r="D296" s="40"/>
      <c r="E296" s="40"/>
      <c r="F296" s="40"/>
      <c r="G296" s="40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4.25" customHeight="1">
      <c r="A297" s="41"/>
      <c r="B297" s="40"/>
      <c r="C297" s="40"/>
      <c r="D297" s="40"/>
      <c r="E297" s="40"/>
      <c r="F297" s="40"/>
      <c r="G297" s="40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4.25" customHeight="1">
      <c r="A298" s="41"/>
      <c r="B298" s="40"/>
      <c r="C298" s="40"/>
      <c r="D298" s="40"/>
      <c r="E298" s="40"/>
      <c r="F298" s="40"/>
      <c r="G298" s="40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4.25" customHeight="1">
      <c r="A299" s="41"/>
      <c r="B299" s="40"/>
      <c r="C299" s="40"/>
      <c r="D299" s="40"/>
      <c r="E299" s="40"/>
      <c r="F299" s="40"/>
      <c r="G299" s="40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4.25" customHeight="1">
      <c r="A300" s="41"/>
      <c r="B300" s="40"/>
      <c r="C300" s="40"/>
      <c r="D300" s="40"/>
      <c r="E300" s="40"/>
      <c r="F300" s="40"/>
      <c r="G300" s="40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4.25" customHeight="1">
      <c r="A301" s="41"/>
      <c r="B301" s="40"/>
      <c r="C301" s="40"/>
      <c r="D301" s="40"/>
      <c r="E301" s="40"/>
      <c r="F301" s="40"/>
      <c r="G301" s="40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4.25" customHeight="1">
      <c r="A302" s="41"/>
      <c r="B302" s="40"/>
      <c r="C302" s="40"/>
      <c r="D302" s="40"/>
      <c r="E302" s="40"/>
      <c r="F302" s="40"/>
      <c r="G302" s="40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4.25" customHeight="1">
      <c r="A303" s="41"/>
      <c r="B303" s="40"/>
      <c r="C303" s="40"/>
      <c r="D303" s="40"/>
      <c r="E303" s="40"/>
      <c r="F303" s="40"/>
      <c r="G303" s="40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4.25" customHeight="1">
      <c r="A304" s="41"/>
      <c r="B304" s="40"/>
      <c r="C304" s="40"/>
      <c r="D304" s="40"/>
      <c r="E304" s="40"/>
      <c r="F304" s="40"/>
      <c r="G304" s="40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4.25" customHeight="1">
      <c r="A305" s="41"/>
      <c r="B305" s="40"/>
      <c r="C305" s="40"/>
      <c r="D305" s="40"/>
      <c r="E305" s="40"/>
      <c r="F305" s="40"/>
      <c r="G305" s="40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4.25" customHeight="1">
      <c r="A306" s="41"/>
      <c r="B306" s="40"/>
      <c r="C306" s="40"/>
      <c r="D306" s="40"/>
      <c r="E306" s="40"/>
      <c r="F306" s="40"/>
      <c r="G306" s="40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4.25" customHeight="1">
      <c r="A307" s="41"/>
      <c r="B307" s="40"/>
      <c r="C307" s="40"/>
      <c r="D307" s="40"/>
      <c r="E307" s="40"/>
      <c r="F307" s="40"/>
      <c r="G307" s="40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4.25" customHeight="1">
      <c r="A308" s="41"/>
      <c r="B308" s="40"/>
      <c r="C308" s="40"/>
      <c r="D308" s="40"/>
      <c r="E308" s="40"/>
      <c r="F308" s="40"/>
      <c r="G308" s="40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4.25" customHeight="1">
      <c r="A309" s="41"/>
      <c r="B309" s="40"/>
      <c r="C309" s="40"/>
      <c r="D309" s="40"/>
      <c r="E309" s="40"/>
      <c r="F309" s="40"/>
      <c r="G309" s="40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4.25" customHeight="1">
      <c r="A310" s="41"/>
      <c r="B310" s="40"/>
      <c r="C310" s="40"/>
      <c r="D310" s="40"/>
      <c r="E310" s="40"/>
      <c r="F310" s="40"/>
      <c r="G310" s="40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4.25" customHeight="1">
      <c r="A311" s="41"/>
      <c r="B311" s="40"/>
      <c r="C311" s="40"/>
      <c r="D311" s="40"/>
      <c r="E311" s="40"/>
      <c r="F311" s="40"/>
      <c r="G311" s="40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4.25" customHeight="1">
      <c r="A312" s="41"/>
      <c r="B312" s="40"/>
      <c r="C312" s="40"/>
      <c r="D312" s="40"/>
      <c r="E312" s="40"/>
      <c r="F312" s="40"/>
      <c r="G312" s="40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4.25" customHeight="1">
      <c r="A313" s="41"/>
      <c r="B313" s="40"/>
      <c r="C313" s="40"/>
      <c r="D313" s="40"/>
      <c r="E313" s="40"/>
      <c r="F313" s="40"/>
      <c r="G313" s="40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4.25" customHeight="1">
      <c r="A314" s="41"/>
      <c r="B314" s="40"/>
      <c r="C314" s="40"/>
      <c r="D314" s="40"/>
      <c r="E314" s="40"/>
      <c r="F314" s="40"/>
      <c r="G314" s="40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4.25" customHeight="1">
      <c r="A315" s="41"/>
      <c r="B315" s="40"/>
      <c r="C315" s="40"/>
      <c r="D315" s="40"/>
      <c r="E315" s="40"/>
      <c r="F315" s="40"/>
      <c r="G315" s="40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4.25" customHeight="1">
      <c r="A316" s="41"/>
      <c r="B316" s="40"/>
      <c r="C316" s="40"/>
      <c r="D316" s="40"/>
      <c r="E316" s="40"/>
      <c r="F316" s="40"/>
      <c r="G316" s="40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4.25" customHeight="1">
      <c r="A317" s="41"/>
      <c r="B317" s="40"/>
      <c r="C317" s="40"/>
      <c r="D317" s="40"/>
      <c r="E317" s="40"/>
      <c r="F317" s="40"/>
      <c r="G317" s="40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4.25" customHeight="1">
      <c r="A318" s="41"/>
      <c r="B318" s="40"/>
      <c r="C318" s="40"/>
      <c r="D318" s="40"/>
      <c r="E318" s="40"/>
      <c r="F318" s="40"/>
      <c r="G318" s="40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4.25" customHeight="1">
      <c r="A319" s="41"/>
      <c r="B319" s="40"/>
      <c r="C319" s="40"/>
      <c r="D319" s="40"/>
      <c r="E319" s="40"/>
      <c r="F319" s="40"/>
      <c r="G319" s="40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4.25" customHeight="1">
      <c r="A320" s="41"/>
      <c r="B320" s="40"/>
      <c r="C320" s="40"/>
      <c r="D320" s="40"/>
      <c r="E320" s="40"/>
      <c r="F320" s="40"/>
      <c r="G320" s="40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4.25" customHeight="1">
      <c r="A321" s="41"/>
      <c r="B321" s="40"/>
      <c r="C321" s="40"/>
      <c r="D321" s="40"/>
      <c r="E321" s="40"/>
      <c r="F321" s="40"/>
      <c r="G321" s="40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4.25" customHeight="1">
      <c r="A322" s="41"/>
      <c r="B322" s="40"/>
      <c r="C322" s="40"/>
      <c r="D322" s="40"/>
      <c r="E322" s="40"/>
      <c r="F322" s="40"/>
      <c r="G322" s="40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4.25" customHeight="1">
      <c r="A323" s="41"/>
      <c r="B323" s="40"/>
      <c r="C323" s="40"/>
      <c r="D323" s="40"/>
      <c r="E323" s="40"/>
      <c r="F323" s="40"/>
      <c r="G323" s="40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4.25" customHeight="1">
      <c r="A324" s="41"/>
      <c r="B324" s="40"/>
      <c r="C324" s="40"/>
      <c r="D324" s="40"/>
      <c r="E324" s="40"/>
      <c r="F324" s="40"/>
      <c r="G324" s="40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4.25" customHeight="1">
      <c r="A325" s="41"/>
      <c r="B325" s="40"/>
      <c r="C325" s="40"/>
      <c r="D325" s="40"/>
      <c r="E325" s="40"/>
      <c r="F325" s="40"/>
      <c r="G325" s="40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4.25" customHeight="1">
      <c r="A326" s="41"/>
      <c r="B326" s="40"/>
      <c r="C326" s="40"/>
      <c r="D326" s="40"/>
      <c r="E326" s="40"/>
      <c r="F326" s="40"/>
      <c r="G326" s="40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4.25" customHeight="1">
      <c r="A327" s="41"/>
      <c r="B327" s="40"/>
      <c r="C327" s="40"/>
      <c r="D327" s="40"/>
      <c r="E327" s="40"/>
      <c r="F327" s="40"/>
      <c r="G327" s="40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4.25" customHeight="1">
      <c r="A328" s="41"/>
      <c r="B328" s="40"/>
      <c r="C328" s="40"/>
      <c r="D328" s="40"/>
      <c r="E328" s="40"/>
      <c r="F328" s="40"/>
      <c r="G328" s="40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4.25" customHeight="1">
      <c r="A329" s="41"/>
      <c r="B329" s="40"/>
      <c r="C329" s="40"/>
      <c r="D329" s="40"/>
      <c r="E329" s="40"/>
      <c r="F329" s="40"/>
      <c r="G329" s="40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4.25" customHeight="1">
      <c r="A330" s="41"/>
      <c r="B330" s="40"/>
      <c r="C330" s="40"/>
      <c r="D330" s="40"/>
      <c r="E330" s="40"/>
      <c r="F330" s="40"/>
      <c r="G330" s="40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4.25" customHeight="1">
      <c r="A331" s="41"/>
      <c r="B331" s="40"/>
      <c r="C331" s="40"/>
      <c r="D331" s="40"/>
      <c r="E331" s="40"/>
      <c r="F331" s="40"/>
      <c r="G331" s="40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4.25" customHeight="1">
      <c r="A332" s="41"/>
      <c r="B332" s="40"/>
      <c r="C332" s="40"/>
      <c r="D332" s="40"/>
      <c r="E332" s="40"/>
      <c r="F332" s="40"/>
      <c r="G332" s="40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4.25" customHeight="1">
      <c r="A333" s="41"/>
      <c r="B333" s="40"/>
      <c r="C333" s="40"/>
      <c r="D333" s="40"/>
      <c r="E333" s="40"/>
      <c r="F333" s="40"/>
      <c r="G333" s="40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4.25" customHeight="1">
      <c r="A334" s="41"/>
      <c r="B334" s="40"/>
      <c r="C334" s="40"/>
      <c r="D334" s="40"/>
      <c r="E334" s="40"/>
      <c r="F334" s="40"/>
      <c r="G334" s="40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4.25" customHeight="1">
      <c r="A335" s="41"/>
      <c r="B335" s="40"/>
      <c r="C335" s="40"/>
      <c r="D335" s="40"/>
      <c r="E335" s="40"/>
      <c r="F335" s="40"/>
      <c r="G335" s="40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4.25" customHeight="1">
      <c r="A336" s="41"/>
      <c r="B336" s="40"/>
      <c r="C336" s="40"/>
      <c r="D336" s="40"/>
      <c r="E336" s="40"/>
      <c r="F336" s="40"/>
      <c r="G336" s="40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4.25" customHeight="1">
      <c r="A337" s="41"/>
      <c r="B337" s="40"/>
      <c r="C337" s="40"/>
      <c r="D337" s="40"/>
      <c r="E337" s="40"/>
      <c r="F337" s="40"/>
      <c r="G337" s="40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4.25" customHeight="1">
      <c r="A338" s="41"/>
      <c r="B338" s="40"/>
      <c r="C338" s="40"/>
      <c r="D338" s="40"/>
      <c r="E338" s="40"/>
      <c r="F338" s="40"/>
      <c r="G338" s="40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4.25" customHeight="1">
      <c r="A339" s="41"/>
      <c r="B339" s="40"/>
      <c r="C339" s="40"/>
      <c r="D339" s="40"/>
      <c r="E339" s="40"/>
      <c r="F339" s="40"/>
      <c r="G339" s="40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4.25" customHeight="1">
      <c r="A340" s="41"/>
      <c r="B340" s="40"/>
      <c r="C340" s="40"/>
      <c r="D340" s="40"/>
      <c r="E340" s="40"/>
      <c r="F340" s="40"/>
      <c r="G340" s="40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4.25" customHeight="1">
      <c r="A341" s="41"/>
      <c r="B341" s="40"/>
      <c r="C341" s="40"/>
      <c r="D341" s="40"/>
      <c r="E341" s="40"/>
      <c r="F341" s="40"/>
      <c r="G341" s="40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4.25" customHeight="1">
      <c r="A342" s="41"/>
      <c r="B342" s="40"/>
      <c r="C342" s="40"/>
      <c r="D342" s="40"/>
      <c r="E342" s="40"/>
      <c r="F342" s="40"/>
      <c r="G342" s="40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4.25" customHeight="1">
      <c r="A343" s="41"/>
      <c r="B343" s="40"/>
      <c r="C343" s="40"/>
      <c r="D343" s="40"/>
      <c r="E343" s="40"/>
      <c r="F343" s="40"/>
      <c r="G343" s="40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4.25" customHeight="1">
      <c r="A344" s="41"/>
      <c r="B344" s="40"/>
      <c r="C344" s="40"/>
      <c r="D344" s="40"/>
      <c r="E344" s="40"/>
      <c r="F344" s="40"/>
      <c r="G344" s="40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4.25" customHeight="1">
      <c r="A345" s="41"/>
      <c r="B345" s="40"/>
      <c r="C345" s="40"/>
      <c r="D345" s="40"/>
      <c r="E345" s="40"/>
      <c r="F345" s="40"/>
      <c r="G345" s="40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4.25" customHeight="1">
      <c r="A346" s="41"/>
      <c r="B346" s="40"/>
      <c r="C346" s="40"/>
      <c r="D346" s="40"/>
      <c r="E346" s="40"/>
      <c r="F346" s="40"/>
      <c r="G346" s="40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4.25" customHeight="1">
      <c r="A347" s="41"/>
      <c r="B347" s="40"/>
      <c r="C347" s="40"/>
      <c r="D347" s="40"/>
      <c r="E347" s="40"/>
      <c r="F347" s="40"/>
      <c r="G347" s="40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4.25" customHeight="1">
      <c r="A348" s="41"/>
      <c r="B348" s="40"/>
      <c r="C348" s="40"/>
      <c r="D348" s="40"/>
      <c r="E348" s="40"/>
      <c r="F348" s="40"/>
      <c r="G348" s="40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4.25" customHeight="1">
      <c r="A349" s="41"/>
      <c r="B349" s="40"/>
      <c r="C349" s="40"/>
      <c r="D349" s="40"/>
      <c r="E349" s="40"/>
      <c r="F349" s="40"/>
      <c r="G349" s="40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4.25" customHeight="1">
      <c r="A350" s="41"/>
      <c r="B350" s="40"/>
      <c r="C350" s="40"/>
      <c r="D350" s="40"/>
      <c r="E350" s="40"/>
      <c r="F350" s="40"/>
      <c r="G350" s="40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4.25" customHeight="1">
      <c r="A351" s="41"/>
      <c r="B351" s="40"/>
      <c r="C351" s="40"/>
      <c r="D351" s="40"/>
      <c r="E351" s="40"/>
      <c r="F351" s="40"/>
      <c r="G351" s="40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4.25" customHeight="1">
      <c r="A352" s="41"/>
      <c r="B352" s="40"/>
      <c r="C352" s="40"/>
      <c r="D352" s="40"/>
      <c r="E352" s="40"/>
      <c r="F352" s="40"/>
      <c r="G352" s="40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4.25" customHeight="1">
      <c r="A353" s="41"/>
      <c r="B353" s="40"/>
      <c r="C353" s="40"/>
      <c r="D353" s="40"/>
      <c r="E353" s="40"/>
      <c r="F353" s="40"/>
      <c r="G353" s="40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4.25" customHeight="1">
      <c r="A354" s="41"/>
      <c r="B354" s="40"/>
      <c r="C354" s="40"/>
      <c r="D354" s="40"/>
      <c r="E354" s="40"/>
      <c r="F354" s="40"/>
      <c r="G354" s="40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4.25" customHeight="1">
      <c r="A355" s="41"/>
      <c r="B355" s="40"/>
      <c r="C355" s="40"/>
      <c r="D355" s="40"/>
      <c r="E355" s="40"/>
      <c r="F355" s="40"/>
      <c r="G355" s="40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4.25" customHeight="1">
      <c r="A356" s="41"/>
      <c r="B356" s="40"/>
      <c r="C356" s="40"/>
      <c r="D356" s="40"/>
      <c r="E356" s="40"/>
      <c r="F356" s="40"/>
      <c r="G356" s="40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4.25" customHeight="1">
      <c r="A357" s="41"/>
      <c r="B357" s="40"/>
      <c r="C357" s="40"/>
      <c r="D357" s="40"/>
      <c r="E357" s="40"/>
      <c r="F357" s="40"/>
      <c r="G357" s="40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4.25" customHeight="1">
      <c r="A358" s="41"/>
      <c r="B358" s="40"/>
      <c r="C358" s="40"/>
      <c r="D358" s="40"/>
      <c r="E358" s="40"/>
      <c r="F358" s="40"/>
      <c r="G358" s="40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4.25" customHeight="1">
      <c r="A359" s="41"/>
      <c r="B359" s="40"/>
      <c r="C359" s="40"/>
      <c r="D359" s="40"/>
      <c r="E359" s="40"/>
      <c r="F359" s="40"/>
      <c r="G359" s="40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4.25" customHeight="1">
      <c r="A360" s="41"/>
      <c r="B360" s="40"/>
      <c r="C360" s="40"/>
      <c r="D360" s="40"/>
      <c r="E360" s="40"/>
      <c r="F360" s="40"/>
      <c r="G360" s="40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4.25" customHeight="1">
      <c r="A361" s="41"/>
      <c r="B361" s="40"/>
      <c r="C361" s="40"/>
      <c r="D361" s="40"/>
      <c r="E361" s="40"/>
      <c r="F361" s="40"/>
      <c r="G361" s="40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4.25" customHeight="1">
      <c r="A362" s="41"/>
      <c r="B362" s="40"/>
      <c r="C362" s="40"/>
      <c r="D362" s="40"/>
      <c r="E362" s="40"/>
      <c r="F362" s="40"/>
      <c r="G362" s="40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4.25" customHeight="1">
      <c r="A363" s="41"/>
      <c r="B363" s="40"/>
      <c r="C363" s="40"/>
      <c r="D363" s="40"/>
      <c r="E363" s="40"/>
      <c r="F363" s="40"/>
      <c r="G363" s="40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4.25" customHeight="1">
      <c r="A364" s="41"/>
      <c r="B364" s="40"/>
      <c r="C364" s="40"/>
      <c r="D364" s="40"/>
      <c r="E364" s="40"/>
      <c r="F364" s="40"/>
      <c r="G364" s="40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4.25" customHeight="1">
      <c r="A365" s="41"/>
      <c r="B365" s="40"/>
      <c r="C365" s="40"/>
      <c r="D365" s="40"/>
      <c r="E365" s="40"/>
      <c r="F365" s="40"/>
      <c r="G365" s="40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4.25" customHeight="1">
      <c r="A366" s="41"/>
      <c r="B366" s="40"/>
      <c r="C366" s="40"/>
      <c r="D366" s="40"/>
      <c r="E366" s="40"/>
      <c r="F366" s="40"/>
      <c r="G366" s="40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4.25" customHeight="1">
      <c r="A367" s="41"/>
      <c r="B367" s="40"/>
      <c r="C367" s="40"/>
      <c r="D367" s="40"/>
      <c r="E367" s="40"/>
      <c r="F367" s="40"/>
      <c r="G367" s="40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4.25" customHeight="1">
      <c r="A368" s="41"/>
      <c r="B368" s="40"/>
      <c r="C368" s="40"/>
      <c r="D368" s="40"/>
      <c r="E368" s="40"/>
      <c r="F368" s="40"/>
      <c r="G368" s="40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4.25" customHeight="1">
      <c r="A369" s="41"/>
      <c r="B369" s="40"/>
      <c r="C369" s="40"/>
      <c r="D369" s="40"/>
      <c r="E369" s="40"/>
      <c r="F369" s="40"/>
      <c r="G369" s="40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4.25" customHeight="1">
      <c r="A370" s="41"/>
      <c r="B370" s="40"/>
      <c r="C370" s="40"/>
      <c r="D370" s="40"/>
      <c r="E370" s="40"/>
      <c r="F370" s="40"/>
      <c r="G370" s="40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4.25" customHeight="1">
      <c r="A371" s="41"/>
      <c r="B371" s="40"/>
      <c r="C371" s="40"/>
      <c r="D371" s="40"/>
      <c r="E371" s="40"/>
      <c r="F371" s="40"/>
      <c r="G371" s="40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4.25" customHeight="1">
      <c r="A372" s="41"/>
      <c r="B372" s="40"/>
      <c r="C372" s="40"/>
      <c r="D372" s="40"/>
      <c r="E372" s="40"/>
      <c r="F372" s="40"/>
      <c r="G372" s="40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4.25" customHeight="1">
      <c r="A373" s="41"/>
      <c r="B373" s="40"/>
      <c r="C373" s="40"/>
      <c r="D373" s="40"/>
      <c r="E373" s="40"/>
      <c r="F373" s="40"/>
      <c r="G373" s="40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4.25" customHeight="1">
      <c r="A374" s="41"/>
      <c r="B374" s="40"/>
      <c r="C374" s="40"/>
      <c r="D374" s="40"/>
      <c r="E374" s="40"/>
      <c r="F374" s="40"/>
      <c r="G374" s="40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4.25" customHeight="1">
      <c r="A375" s="41"/>
      <c r="B375" s="40"/>
      <c r="C375" s="40"/>
      <c r="D375" s="40"/>
      <c r="E375" s="40"/>
      <c r="F375" s="40"/>
      <c r="G375" s="40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4.25" customHeight="1">
      <c r="A376" s="41"/>
      <c r="B376" s="40"/>
      <c r="C376" s="40"/>
      <c r="D376" s="40"/>
      <c r="E376" s="40"/>
      <c r="F376" s="40"/>
      <c r="G376" s="40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4.25" customHeight="1">
      <c r="A377" s="41"/>
      <c r="B377" s="40"/>
      <c r="C377" s="40"/>
      <c r="D377" s="40"/>
      <c r="E377" s="40"/>
      <c r="F377" s="40"/>
      <c r="G377" s="40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4.25" customHeight="1">
      <c r="A378" s="41"/>
      <c r="B378" s="40"/>
      <c r="C378" s="40"/>
      <c r="D378" s="40"/>
      <c r="E378" s="40"/>
      <c r="F378" s="40"/>
      <c r="G378" s="40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4.25" customHeight="1">
      <c r="A379" s="41"/>
      <c r="B379" s="40"/>
      <c r="C379" s="40"/>
      <c r="D379" s="40"/>
      <c r="E379" s="40"/>
      <c r="F379" s="40"/>
      <c r="G379" s="40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4.25" customHeight="1">
      <c r="A380" s="41"/>
      <c r="B380" s="40"/>
      <c r="C380" s="40"/>
      <c r="D380" s="40"/>
      <c r="E380" s="40"/>
      <c r="F380" s="40"/>
      <c r="G380" s="40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4.25" customHeight="1">
      <c r="A381" s="41"/>
      <c r="B381" s="40"/>
      <c r="C381" s="40"/>
      <c r="D381" s="40"/>
      <c r="E381" s="40"/>
      <c r="F381" s="40"/>
      <c r="G381" s="40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4.25" customHeight="1">
      <c r="A382" s="41"/>
      <c r="B382" s="40"/>
      <c r="C382" s="40"/>
      <c r="D382" s="40"/>
      <c r="E382" s="40"/>
      <c r="F382" s="40"/>
      <c r="G382" s="40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4.25" customHeight="1">
      <c r="A383" s="41"/>
      <c r="B383" s="40"/>
      <c r="C383" s="40"/>
      <c r="D383" s="40"/>
      <c r="E383" s="40"/>
      <c r="F383" s="40"/>
      <c r="G383" s="40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4.25" customHeight="1">
      <c r="A384" s="41"/>
      <c r="B384" s="40"/>
      <c r="C384" s="40"/>
      <c r="D384" s="40"/>
      <c r="E384" s="40"/>
      <c r="F384" s="40"/>
      <c r="G384" s="40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4.25" customHeight="1">
      <c r="A385" s="41"/>
      <c r="B385" s="40"/>
      <c r="C385" s="40"/>
      <c r="D385" s="40"/>
      <c r="E385" s="40"/>
      <c r="F385" s="40"/>
      <c r="G385" s="40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4.25" customHeight="1">
      <c r="A386" s="41"/>
      <c r="B386" s="40"/>
      <c r="C386" s="40"/>
      <c r="D386" s="40"/>
      <c r="E386" s="40"/>
      <c r="F386" s="40"/>
      <c r="G386" s="40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4.25" customHeight="1">
      <c r="A387" s="41"/>
      <c r="B387" s="40"/>
      <c r="C387" s="40"/>
      <c r="D387" s="40"/>
      <c r="E387" s="40"/>
      <c r="F387" s="40"/>
      <c r="G387" s="40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4.25" customHeight="1">
      <c r="A388" s="41"/>
      <c r="B388" s="40"/>
      <c r="C388" s="40"/>
      <c r="D388" s="40"/>
      <c r="E388" s="40"/>
      <c r="F388" s="40"/>
      <c r="G388" s="40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4.25" customHeight="1">
      <c r="A389" s="41"/>
      <c r="B389" s="40"/>
      <c r="C389" s="40"/>
      <c r="D389" s="40"/>
      <c r="E389" s="40"/>
      <c r="F389" s="40"/>
      <c r="G389" s="40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4.25" customHeight="1">
      <c r="A390" s="41"/>
      <c r="B390" s="40"/>
      <c r="C390" s="40"/>
      <c r="D390" s="40"/>
      <c r="E390" s="40"/>
      <c r="F390" s="40"/>
      <c r="G390" s="40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4.25" customHeight="1">
      <c r="A391" s="41"/>
      <c r="B391" s="40"/>
      <c r="C391" s="40"/>
      <c r="D391" s="40"/>
      <c r="E391" s="40"/>
      <c r="F391" s="40"/>
      <c r="G391" s="40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4.25" customHeight="1">
      <c r="A392" s="41"/>
      <c r="B392" s="40"/>
      <c r="C392" s="40"/>
      <c r="D392" s="40"/>
      <c r="E392" s="40"/>
      <c r="F392" s="40"/>
      <c r="G392" s="40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4.25" customHeight="1">
      <c r="A393" s="41"/>
      <c r="B393" s="40"/>
      <c r="C393" s="40"/>
      <c r="D393" s="40"/>
      <c r="E393" s="40"/>
      <c r="F393" s="40"/>
      <c r="G393" s="40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4.25" customHeight="1">
      <c r="A394" s="41"/>
      <c r="B394" s="40"/>
      <c r="C394" s="40"/>
      <c r="D394" s="40"/>
      <c r="E394" s="40"/>
      <c r="F394" s="40"/>
      <c r="G394" s="40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4.25" customHeight="1">
      <c r="A395" s="41"/>
      <c r="B395" s="40"/>
      <c r="C395" s="40"/>
      <c r="D395" s="40"/>
      <c r="E395" s="40"/>
      <c r="F395" s="40"/>
      <c r="G395" s="40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4.25" customHeight="1">
      <c r="A396" s="41"/>
      <c r="B396" s="40"/>
      <c r="C396" s="40"/>
      <c r="D396" s="40"/>
      <c r="E396" s="40"/>
      <c r="F396" s="40"/>
      <c r="G396" s="40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4.25" customHeight="1">
      <c r="A397" s="41"/>
      <c r="B397" s="40"/>
      <c r="C397" s="40"/>
      <c r="D397" s="40"/>
      <c r="E397" s="40"/>
      <c r="F397" s="40"/>
      <c r="G397" s="40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4.25" customHeight="1">
      <c r="A398" s="41"/>
      <c r="B398" s="40"/>
      <c r="C398" s="40"/>
      <c r="D398" s="40"/>
      <c r="E398" s="40"/>
      <c r="F398" s="40"/>
      <c r="G398" s="40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4.25" customHeight="1">
      <c r="A399" s="41"/>
      <c r="B399" s="40"/>
      <c r="C399" s="40"/>
      <c r="D399" s="40"/>
      <c r="E399" s="40"/>
      <c r="F399" s="40"/>
      <c r="G399" s="40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4.25" customHeight="1">
      <c r="A400" s="41"/>
      <c r="B400" s="40"/>
      <c r="C400" s="40"/>
      <c r="D400" s="40"/>
      <c r="E400" s="40"/>
      <c r="F400" s="40"/>
      <c r="G400" s="40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4.25" customHeight="1">
      <c r="A401" s="41"/>
      <c r="B401" s="40"/>
      <c r="C401" s="40"/>
      <c r="D401" s="40"/>
      <c r="E401" s="40"/>
      <c r="F401" s="40"/>
      <c r="G401" s="40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4.25" customHeight="1">
      <c r="A402" s="41"/>
      <c r="B402" s="40"/>
      <c r="C402" s="40"/>
      <c r="D402" s="40"/>
      <c r="E402" s="40"/>
      <c r="F402" s="40"/>
      <c r="G402" s="40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4.25" customHeight="1">
      <c r="A403" s="41"/>
      <c r="B403" s="40"/>
      <c r="C403" s="40"/>
      <c r="D403" s="40"/>
      <c r="E403" s="40"/>
      <c r="F403" s="40"/>
      <c r="G403" s="40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4.25" customHeight="1">
      <c r="A404" s="41"/>
      <c r="B404" s="40"/>
      <c r="C404" s="40"/>
      <c r="D404" s="40"/>
      <c r="E404" s="40"/>
      <c r="F404" s="40"/>
      <c r="G404" s="40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4.25" customHeight="1">
      <c r="A405" s="41"/>
      <c r="B405" s="40"/>
      <c r="C405" s="40"/>
      <c r="D405" s="40"/>
      <c r="E405" s="40"/>
      <c r="F405" s="40"/>
      <c r="G405" s="40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4.25" customHeight="1">
      <c r="A406" s="41"/>
      <c r="B406" s="40"/>
      <c r="C406" s="40"/>
      <c r="D406" s="40"/>
      <c r="E406" s="40"/>
      <c r="F406" s="40"/>
      <c r="G406" s="40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4.25" customHeight="1">
      <c r="A407" s="41"/>
      <c r="B407" s="40"/>
      <c r="C407" s="40"/>
      <c r="D407" s="40"/>
      <c r="E407" s="40"/>
      <c r="F407" s="40"/>
      <c r="G407" s="40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4.25" customHeight="1">
      <c r="A408" s="41"/>
      <c r="B408" s="40"/>
      <c r="C408" s="40"/>
      <c r="D408" s="40"/>
      <c r="E408" s="40"/>
      <c r="F408" s="40"/>
      <c r="G408" s="40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4.25" customHeight="1">
      <c r="A409" s="41"/>
      <c r="B409" s="40"/>
      <c r="C409" s="40"/>
      <c r="D409" s="40"/>
      <c r="E409" s="40"/>
      <c r="F409" s="40"/>
      <c r="G409" s="40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4.25" customHeight="1">
      <c r="A410" s="41"/>
      <c r="B410" s="40"/>
      <c r="C410" s="40"/>
      <c r="D410" s="40"/>
      <c r="E410" s="40"/>
      <c r="F410" s="40"/>
      <c r="G410" s="40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4.25" customHeight="1">
      <c r="A411" s="41"/>
      <c r="B411" s="40"/>
      <c r="C411" s="40"/>
      <c r="D411" s="40"/>
      <c r="E411" s="40"/>
      <c r="F411" s="40"/>
      <c r="G411" s="40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4.25" customHeight="1">
      <c r="A412" s="41"/>
      <c r="B412" s="40"/>
      <c r="C412" s="40"/>
      <c r="D412" s="40"/>
      <c r="E412" s="40"/>
      <c r="F412" s="40"/>
      <c r="G412" s="40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4.25" customHeight="1">
      <c r="A413" s="41"/>
      <c r="B413" s="40"/>
      <c r="C413" s="40"/>
      <c r="D413" s="40"/>
      <c r="E413" s="40"/>
      <c r="F413" s="40"/>
      <c r="G413" s="40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4.25" customHeight="1">
      <c r="A414" s="41"/>
      <c r="B414" s="40"/>
      <c r="C414" s="40"/>
      <c r="D414" s="40"/>
      <c r="E414" s="40"/>
      <c r="F414" s="40"/>
      <c r="G414" s="40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4.25" customHeight="1">
      <c r="A415" s="41"/>
      <c r="B415" s="40"/>
      <c r="C415" s="40"/>
      <c r="D415" s="40"/>
      <c r="E415" s="40"/>
      <c r="F415" s="40"/>
      <c r="G415" s="40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4.25" customHeight="1">
      <c r="A416" s="41"/>
      <c r="B416" s="40"/>
      <c r="C416" s="40"/>
      <c r="D416" s="40"/>
      <c r="E416" s="40"/>
      <c r="F416" s="40"/>
      <c r="G416" s="40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4.25" customHeight="1">
      <c r="A417" s="41"/>
      <c r="B417" s="40"/>
      <c r="C417" s="40"/>
      <c r="D417" s="40"/>
      <c r="E417" s="40"/>
      <c r="F417" s="40"/>
      <c r="G417" s="40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4.25" customHeight="1">
      <c r="A418" s="41"/>
      <c r="B418" s="40"/>
      <c r="C418" s="40"/>
      <c r="D418" s="40"/>
      <c r="E418" s="40"/>
      <c r="F418" s="40"/>
      <c r="G418" s="40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4.25" customHeight="1">
      <c r="A419" s="41"/>
      <c r="B419" s="40"/>
      <c r="C419" s="40"/>
      <c r="D419" s="40"/>
      <c r="E419" s="40"/>
      <c r="F419" s="40"/>
      <c r="G419" s="40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4.25" customHeight="1">
      <c r="A420" s="41"/>
      <c r="B420" s="40"/>
      <c r="C420" s="40"/>
      <c r="D420" s="40"/>
      <c r="E420" s="40"/>
      <c r="F420" s="40"/>
      <c r="G420" s="40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4.25" customHeight="1">
      <c r="A421" s="41"/>
      <c r="B421" s="40"/>
      <c r="C421" s="40"/>
      <c r="D421" s="40"/>
      <c r="E421" s="40"/>
      <c r="F421" s="40"/>
      <c r="G421" s="40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4.25" customHeight="1">
      <c r="A422" s="41"/>
      <c r="B422" s="40"/>
      <c r="C422" s="40"/>
      <c r="D422" s="40"/>
      <c r="E422" s="40"/>
      <c r="F422" s="40"/>
      <c r="G422" s="40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4.25" customHeight="1">
      <c r="A423" s="41"/>
      <c r="B423" s="40"/>
      <c r="C423" s="40"/>
      <c r="D423" s="40"/>
      <c r="E423" s="40"/>
      <c r="F423" s="40"/>
      <c r="G423" s="40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4.25" customHeight="1">
      <c r="A424" s="41"/>
      <c r="B424" s="40"/>
      <c r="C424" s="40"/>
      <c r="D424" s="40"/>
      <c r="E424" s="40"/>
      <c r="F424" s="40"/>
      <c r="G424" s="40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4.25" customHeight="1">
      <c r="A425" s="41"/>
      <c r="B425" s="40"/>
      <c r="C425" s="40"/>
      <c r="D425" s="40"/>
      <c r="E425" s="40"/>
      <c r="F425" s="40"/>
      <c r="G425" s="40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4.25" customHeight="1">
      <c r="A426" s="41"/>
      <c r="B426" s="40"/>
      <c r="C426" s="40"/>
      <c r="D426" s="40"/>
      <c r="E426" s="40"/>
      <c r="F426" s="40"/>
      <c r="G426" s="40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4.25" customHeight="1">
      <c r="A427" s="41"/>
      <c r="B427" s="40"/>
      <c r="C427" s="40"/>
      <c r="D427" s="40"/>
      <c r="E427" s="40"/>
      <c r="F427" s="40"/>
      <c r="G427" s="40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4.25" customHeight="1">
      <c r="A428" s="41"/>
      <c r="B428" s="40"/>
      <c r="C428" s="40"/>
      <c r="D428" s="40"/>
      <c r="E428" s="40"/>
      <c r="F428" s="40"/>
      <c r="G428" s="40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4.25" customHeight="1">
      <c r="A429" s="41"/>
      <c r="B429" s="40"/>
      <c r="C429" s="40"/>
      <c r="D429" s="40"/>
      <c r="E429" s="40"/>
      <c r="F429" s="40"/>
      <c r="G429" s="40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4.25" customHeight="1">
      <c r="A430" s="41"/>
      <c r="B430" s="40"/>
      <c r="C430" s="40"/>
      <c r="D430" s="40"/>
      <c r="E430" s="40"/>
      <c r="F430" s="40"/>
      <c r="G430" s="40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4.25" customHeight="1">
      <c r="A431" s="41"/>
      <c r="B431" s="40"/>
      <c r="C431" s="40"/>
      <c r="D431" s="40"/>
      <c r="E431" s="40"/>
      <c r="F431" s="40"/>
      <c r="G431" s="40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4.25" customHeight="1">
      <c r="A432" s="41"/>
      <c r="B432" s="40"/>
      <c r="C432" s="40"/>
      <c r="D432" s="40"/>
      <c r="E432" s="40"/>
      <c r="F432" s="40"/>
      <c r="G432" s="40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4.25" customHeight="1">
      <c r="A433" s="41"/>
      <c r="B433" s="40"/>
      <c r="C433" s="40"/>
      <c r="D433" s="40"/>
      <c r="E433" s="40"/>
      <c r="F433" s="40"/>
      <c r="G433" s="40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4.25" customHeight="1">
      <c r="A434" s="41"/>
      <c r="B434" s="40"/>
      <c r="C434" s="40"/>
      <c r="D434" s="40"/>
      <c r="E434" s="40"/>
      <c r="F434" s="40"/>
      <c r="G434" s="40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4.25" customHeight="1">
      <c r="A435" s="41"/>
      <c r="B435" s="40"/>
      <c r="C435" s="40"/>
      <c r="D435" s="40"/>
      <c r="E435" s="40"/>
      <c r="F435" s="40"/>
      <c r="G435" s="40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4.25" customHeight="1">
      <c r="A436" s="41"/>
      <c r="B436" s="40"/>
      <c r="C436" s="40"/>
      <c r="D436" s="40"/>
      <c r="E436" s="40"/>
      <c r="F436" s="40"/>
      <c r="G436" s="40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4.25" customHeight="1">
      <c r="A437" s="41"/>
      <c r="B437" s="40"/>
      <c r="C437" s="40"/>
      <c r="D437" s="40"/>
      <c r="E437" s="40"/>
      <c r="F437" s="40"/>
      <c r="G437" s="40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4.25" customHeight="1">
      <c r="A438" s="41"/>
      <c r="B438" s="40"/>
      <c r="C438" s="40"/>
      <c r="D438" s="40"/>
      <c r="E438" s="40"/>
      <c r="F438" s="40"/>
      <c r="G438" s="40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4.25" customHeight="1">
      <c r="A439" s="41"/>
      <c r="B439" s="40"/>
      <c r="C439" s="40"/>
      <c r="D439" s="40"/>
      <c r="E439" s="40"/>
      <c r="F439" s="40"/>
      <c r="G439" s="40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4.25" customHeight="1">
      <c r="A440" s="41"/>
      <c r="B440" s="40"/>
      <c r="C440" s="40"/>
      <c r="D440" s="40"/>
      <c r="E440" s="40"/>
      <c r="F440" s="40"/>
      <c r="G440" s="40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4.25" customHeight="1">
      <c r="A441" s="41"/>
      <c r="B441" s="40"/>
      <c r="C441" s="40"/>
      <c r="D441" s="40"/>
      <c r="E441" s="40"/>
      <c r="F441" s="40"/>
      <c r="G441" s="40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4.25" customHeight="1">
      <c r="A442" s="41"/>
      <c r="B442" s="40"/>
      <c r="C442" s="40"/>
      <c r="D442" s="40"/>
      <c r="E442" s="40"/>
      <c r="F442" s="40"/>
      <c r="G442" s="40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4.25" customHeight="1">
      <c r="A443" s="41"/>
      <c r="B443" s="40"/>
      <c r="C443" s="40"/>
      <c r="D443" s="40"/>
      <c r="E443" s="40"/>
      <c r="F443" s="40"/>
      <c r="G443" s="40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4.25" customHeight="1">
      <c r="A444" s="41"/>
      <c r="B444" s="40"/>
      <c r="C444" s="40"/>
      <c r="D444" s="40"/>
      <c r="E444" s="40"/>
      <c r="F444" s="40"/>
      <c r="G444" s="40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4.25" customHeight="1">
      <c r="A445" s="41"/>
      <c r="B445" s="40"/>
      <c r="C445" s="40"/>
      <c r="D445" s="40"/>
      <c r="E445" s="40"/>
      <c r="F445" s="40"/>
      <c r="G445" s="40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4.25" customHeight="1">
      <c r="A446" s="41"/>
      <c r="B446" s="40"/>
      <c r="C446" s="40"/>
      <c r="D446" s="40"/>
      <c r="E446" s="40"/>
      <c r="F446" s="40"/>
      <c r="G446" s="40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4.25" customHeight="1">
      <c r="A447" s="41"/>
      <c r="B447" s="40"/>
      <c r="C447" s="40"/>
      <c r="D447" s="40"/>
      <c r="E447" s="40"/>
      <c r="F447" s="40"/>
      <c r="G447" s="40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4.25" customHeight="1">
      <c r="A448" s="41"/>
      <c r="B448" s="40"/>
      <c r="C448" s="40"/>
      <c r="D448" s="40"/>
      <c r="E448" s="40"/>
      <c r="F448" s="40"/>
      <c r="G448" s="40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4.25" customHeight="1">
      <c r="A449" s="41"/>
      <c r="B449" s="40"/>
      <c r="C449" s="40"/>
      <c r="D449" s="40"/>
      <c r="E449" s="40"/>
      <c r="F449" s="40"/>
      <c r="G449" s="40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4.25" customHeight="1">
      <c r="A450" s="41"/>
      <c r="B450" s="40"/>
      <c r="C450" s="40"/>
      <c r="D450" s="40"/>
      <c r="E450" s="40"/>
      <c r="F450" s="40"/>
      <c r="G450" s="40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4.25" customHeight="1">
      <c r="A451" s="41"/>
      <c r="B451" s="40"/>
      <c r="C451" s="40"/>
      <c r="D451" s="40"/>
      <c r="E451" s="40"/>
      <c r="F451" s="40"/>
      <c r="G451" s="40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4.25" customHeight="1">
      <c r="A452" s="41"/>
      <c r="B452" s="40"/>
      <c r="C452" s="40"/>
      <c r="D452" s="40"/>
      <c r="E452" s="40"/>
      <c r="F452" s="40"/>
      <c r="G452" s="40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4.25" customHeight="1">
      <c r="A453" s="41"/>
      <c r="B453" s="40"/>
      <c r="C453" s="40"/>
      <c r="D453" s="40"/>
      <c r="E453" s="40"/>
      <c r="F453" s="40"/>
      <c r="G453" s="40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4.25" customHeight="1">
      <c r="A454" s="41"/>
      <c r="B454" s="40"/>
      <c r="C454" s="40"/>
      <c r="D454" s="40"/>
      <c r="E454" s="40"/>
      <c r="F454" s="40"/>
      <c r="G454" s="40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4.25" customHeight="1">
      <c r="A455" s="41"/>
      <c r="B455" s="40"/>
      <c r="C455" s="40"/>
      <c r="D455" s="40"/>
      <c r="E455" s="40"/>
      <c r="F455" s="40"/>
      <c r="G455" s="40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4.25" customHeight="1">
      <c r="A456" s="41"/>
      <c r="B456" s="40"/>
      <c r="C456" s="40"/>
      <c r="D456" s="40"/>
      <c r="E456" s="40"/>
      <c r="F456" s="40"/>
      <c r="G456" s="40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4.25" customHeight="1">
      <c r="A457" s="41"/>
      <c r="B457" s="40"/>
      <c r="C457" s="40"/>
      <c r="D457" s="40"/>
      <c r="E457" s="40"/>
      <c r="F457" s="40"/>
      <c r="G457" s="40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4.25" customHeight="1">
      <c r="A458" s="41"/>
      <c r="B458" s="40"/>
      <c r="C458" s="40"/>
      <c r="D458" s="40"/>
      <c r="E458" s="40"/>
      <c r="F458" s="40"/>
      <c r="G458" s="40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4.25" customHeight="1">
      <c r="A459" s="41"/>
      <c r="B459" s="40"/>
      <c r="C459" s="40"/>
      <c r="D459" s="40"/>
      <c r="E459" s="40"/>
      <c r="F459" s="40"/>
      <c r="G459" s="40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4.25" customHeight="1">
      <c r="A460" s="41"/>
      <c r="B460" s="40"/>
      <c r="C460" s="40"/>
      <c r="D460" s="40"/>
      <c r="E460" s="40"/>
      <c r="F460" s="40"/>
      <c r="G460" s="40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4.25" customHeight="1">
      <c r="A461" s="41"/>
      <c r="B461" s="40"/>
      <c r="C461" s="40"/>
      <c r="D461" s="40"/>
      <c r="E461" s="40"/>
      <c r="F461" s="40"/>
      <c r="G461" s="40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4.25" customHeight="1">
      <c r="A462" s="41"/>
      <c r="B462" s="40"/>
      <c r="C462" s="40"/>
      <c r="D462" s="40"/>
      <c r="E462" s="40"/>
      <c r="F462" s="40"/>
      <c r="G462" s="40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4.25" customHeight="1">
      <c r="A463" s="41"/>
      <c r="B463" s="40"/>
      <c r="C463" s="40"/>
      <c r="D463" s="40"/>
      <c r="E463" s="40"/>
      <c r="F463" s="40"/>
      <c r="G463" s="40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4.25" customHeight="1">
      <c r="A464" s="41"/>
      <c r="B464" s="40"/>
      <c r="C464" s="40"/>
      <c r="D464" s="40"/>
      <c r="E464" s="40"/>
      <c r="F464" s="40"/>
      <c r="G464" s="40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4.25" customHeight="1">
      <c r="A465" s="41"/>
      <c r="B465" s="40"/>
      <c r="C465" s="40"/>
      <c r="D465" s="40"/>
      <c r="E465" s="40"/>
      <c r="F465" s="40"/>
      <c r="G465" s="40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4.25" customHeight="1">
      <c r="A466" s="41"/>
      <c r="B466" s="40"/>
      <c r="C466" s="40"/>
      <c r="D466" s="40"/>
      <c r="E466" s="40"/>
      <c r="F466" s="40"/>
      <c r="G466" s="40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4.25" customHeight="1">
      <c r="A467" s="41"/>
      <c r="B467" s="40"/>
      <c r="C467" s="40"/>
      <c r="D467" s="40"/>
      <c r="E467" s="40"/>
      <c r="F467" s="40"/>
      <c r="G467" s="40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4.25" customHeight="1">
      <c r="A468" s="41"/>
      <c r="B468" s="40"/>
      <c r="C468" s="40"/>
      <c r="D468" s="40"/>
      <c r="E468" s="40"/>
      <c r="F468" s="40"/>
      <c r="G468" s="40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4.25" customHeight="1">
      <c r="A469" s="41"/>
      <c r="B469" s="40"/>
      <c r="C469" s="40"/>
      <c r="D469" s="40"/>
      <c r="E469" s="40"/>
      <c r="F469" s="40"/>
      <c r="G469" s="40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4.25" customHeight="1">
      <c r="A470" s="41"/>
      <c r="B470" s="40"/>
      <c r="C470" s="40"/>
      <c r="D470" s="40"/>
      <c r="E470" s="40"/>
      <c r="F470" s="40"/>
      <c r="G470" s="40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4.25" customHeight="1">
      <c r="A471" s="41"/>
      <c r="B471" s="40"/>
      <c r="C471" s="40"/>
      <c r="D471" s="40"/>
      <c r="E471" s="40"/>
      <c r="F471" s="40"/>
      <c r="G471" s="40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4.25" customHeight="1">
      <c r="A472" s="41"/>
      <c r="B472" s="40"/>
      <c r="C472" s="40"/>
      <c r="D472" s="40"/>
      <c r="E472" s="40"/>
      <c r="F472" s="40"/>
      <c r="G472" s="40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4.25" customHeight="1">
      <c r="A473" s="41"/>
      <c r="B473" s="40"/>
      <c r="C473" s="40"/>
      <c r="D473" s="40"/>
      <c r="E473" s="40"/>
      <c r="F473" s="40"/>
      <c r="G473" s="40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4.25" customHeight="1">
      <c r="A474" s="41"/>
      <c r="B474" s="40"/>
      <c r="C474" s="40"/>
      <c r="D474" s="40"/>
      <c r="E474" s="40"/>
      <c r="F474" s="40"/>
      <c r="G474" s="40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4.25" customHeight="1">
      <c r="A475" s="41"/>
      <c r="B475" s="40"/>
      <c r="C475" s="40"/>
      <c r="D475" s="40"/>
      <c r="E475" s="40"/>
      <c r="F475" s="40"/>
      <c r="G475" s="40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4.25" customHeight="1">
      <c r="A476" s="41"/>
      <c r="B476" s="40"/>
      <c r="C476" s="40"/>
      <c r="D476" s="40"/>
      <c r="E476" s="40"/>
      <c r="F476" s="40"/>
      <c r="G476" s="40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4.25" customHeight="1">
      <c r="A477" s="41"/>
      <c r="B477" s="40"/>
      <c r="C477" s="40"/>
      <c r="D477" s="40"/>
      <c r="E477" s="40"/>
      <c r="F477" s="40"/>
      <c r="G477" s="40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4.25" customHeight="1">
      <c r="A478" s="41"/>
      <c r="B478" s="40"/>
      <c r="C478" s="40"/>
      <c r="D478" s="40"/>
      <c r="E478" s="40"/>
      <c r="F478" s="40"/>
      <c r="G478" s="40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4.25" customHeight="1">
      <c r="A479" s="41"/>
      <c r="B479" s="40"/>
      <c r="C479" s="40"/>
      <c r="D479" s="40"/>
      <c r="E479" s="40"/>
      <c r="F479" s="40"/>
      <c r="G479" s="40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4.25" customHeight="1">
      <c r="A480" s="41"/>
      <c r="B480" s="40"/>
      <c r="C480" s="40"/>
      <c r="D480" s="40"/>
      <c r="E480" s="40"/>
      <c r="F480" s="40"/>
      <c r="G480" s="40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4.25" customHeight="1">
      <c r="A481" s="41"/>
      <c r="B481" s="40"/>
      <c r="C481" s="40"/>
      <c r="D481" s="40"/>
      <c r="E481" s="40"/>
      <c r="F481" s="40"/>
      <c r="G481" s="40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4.25" customHeight="1">
      <c r="A482" s="41"/>
      <c r="B482" s="40"/>
      <c r="C482" s="40"/>
      <c r="D482" s="40"/>
      <c r="E482" s="40"/>
      <c r="F482" s="40"/>
      <c r="G482" s="40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4.25" customHeight="1">
      <c r="A483" s="41"/>
      <c r="B483" s="40"/>
      <c r="C483" s="40"/>
      <c r="D483" s="40"/>
      <c r="E483" s="40"/>
      <c r="F483" s="40"/>
      <c r="G483" s="40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4.25" customHeight="1">
      <c r="A484" s="41"/>
      <c r="B484" s="40"/>
      <c r="C484" s="40"/>
      <c r="D484" s="40"/>
      <c r="E484" s="40"/>
      <c r="F484" s="40"/>
      <c r="G484" s="40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4.25" customHeight="1">
      <c r="A485" s="41"/>
      <c r="B485" s="40"/>
      <c r="C485" s="40"/>
      <c r="D485" s="40"/>
      <c r="E485" s="40"/>
      <c r="F485" s="40"/>
      <c r="G485" s="40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4.25" customHeight="1">
      <c r="A486" s="41"/>
      <c r="B486" s="40"/>
      <c r="C486" s="40"/>
      <c r="D486" s="40"/>
      <c r="E486" s="40"/>
      <c r="F486" s="40"/>
      <c r="G486" s="40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4.25" customHeight="1">
      <c r="A487" s="41"/>
      <c r="B487" s="40"/>
      <c r="C487" s="40"/>
      <c r="D487" s="40"/>
      <c r="E487" s="40"/>
      <c r="F487" s="40"/>
      <c r="G487" s="40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4.25" customHeight="1">
      <c r="A488" s="41"/>
      <c r="B488" s="40"/>
      <c r="C488" s="40"/>
      <c r="D488" s="40"/>
      <c r="E488" s="40"/>
      <c r="F488" s="40"/>
      <c r="G488" s="40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4.25" customHeight="1">
      <c r="A489" s="41"/>
      <c r="B489" s="40"/>
      <c r="C489" s="40"/>
      <c r="D489" s="40"/>
      <c r="E489" s="40"/>
      <c r="F489" s="40"/>
      <c r="G489" s="40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4.25" customHeight="1">
      <c r="A490" s="41"/>
      <c r="B490" s="40"/>
      <c r="C490" s="40"/>
      <c r="D490" s="40"/>
      <c r="E490" s="40"/>
      <c r="F490" s="40"/>
      <c r="G490" s="40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4.25" customHeight="1">
      <c r="A491" s="41"/>
      <c r="B491" s="40"/>
      <c r="C491" s="40"/>
      <c r="D491" s="40"/>
      <c r="E491" s="40"/>
      <c r="F491" s="40"/>
      <c r="G491" s="40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4.25" customHeight="1">
      <c r="A492" s="41"/>
      <c r="B492" s="40"/>
      <c r="C492" s="40"/>
      <c r="D492" s="40"/>
      <c r="E492" s="40"/>
      <c r="F492" s="40"/>
      <c r="G492" s="40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4.25" customHeight="1">
      <c r="A493" s="41"/>
      <c r="B493" s="40"/>
      <c r="C493" s="40"/>
      <c r="D493" s="40"/>
      <c r="E493" s="40"/>
      <c r="F493" s="40"/>
      <c r="G493" s="40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4.25" customHeight="1">
      <c r="A494" s="41"/>
      <c r="B494" s="40"/>
      <c r="C494" s="40"/>
      <c r="D494" s="40"/>
      <c r="E494" s="40"/>
      <c r="F494" s="40"/>
      <c r="G494" s="40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4.25" customHeight="1">
      <c r="A495" s="41"/>
      <c r="B495" s="40"/>
      <c r="C495" s="40"/>
      <c r="D495" s="40"/>
      <c r="E495" s="40"/>
      <c r="F495" s="40"/>
      <c r="G495" s="40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4.25" customHeight="1">
      <c r="A496" s="41"/>
      <c r="B496" s="40"/>
      <c r="C496" s="40"/>
      <c r="D496" s="40"/>
      <c r="E496" s="40"/>
      <c r="F496" s="40"/>
      <c r="G496" s="40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4.25" customHeight="1">
      <c r="A497" s="41"/>
      <c r="B497" s="40"/>
      <c r="C497" s="40"/>
      <c r="D497" s="40"/>
      <c r="E497" s="40"/>
      <c r="F497" s="40"/>
      <c r="G497" s="40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4.25" customHeight="1">
      <c r="A498" s="41"/>
      <c r="B498" s="40"/>
      <c r="C498" s="40"/>
      <c r="D498" s="40"/>
      <c r="E498" s="40"/>
      <c r="F498" s="40"/>
      <c r="G498" s="40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4.25" customHeight="1">
      <c r="A499" s="41"/>
      <c r="B499" s="40"/>
      <c r="C499" s="40"/>
      <c r="D499" s="40"/>
      <c r="E499" s="40"/>
      <c r="F499" s="40"/>
      <c r="G499" s="40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4.25" customHeight="1">
      <c r="A500" s="41"/>
      <c r="B500" s="40"/>
      <c r="C500" s="40"/>
      <c r="D500" s="40"/>
      <c r="E500" s="40"/>
      <c r="F500" s="40"/>
      <c r="G500" s="40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4.25" customHeight="1">
      <c r="A501" s="41"/>
      <c r="B501" s="40"/>
      <c r="C501" s="40"/>
      <c r="D501" s="40"/>
      <c r="E501" s="40"/>
      <c r="F501" s="40"/>
      <c r="G501" s="40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4.25" customHeight="1">
      <c r="A502" s="41"/>
      <c r="B502" s="40"/>
      <c r="C502" s="40"/>
      <c r="D502" s="40"/>
      <c r="E502" s="40"/>
      <c r="F502" s="40"/>
      <c r="G502" s="40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4.25" customHeight="1">
      <c r="A503" s="41"/>
      <c r="B503" s="40"/>
      <c r="C503" s="40"/>
      <c r="D503" s="40"/>
      <c r="E503" s="40"/>
      <c r="F503" s="40"/>
      <c r="G503" s="40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4.25" customHeight="1">
      <c r="A504" s="41"/>
      <c r="B504" s="40"/>
      <c r="C504" s="40"/>
      <c r="D504" s="40"/>
      <c r="E504" s="40"/>
      <c r="F504" s="40"/>
      <c r="G504" s="40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4.25" customHeight="1">
      <c r="A505" s="41"/>
      <c r="B505" s="40"/>
      <c r="C505" s="40"/>
      <c r="D505" s="40"/>
      <c r="E505" s="40"/>
      <c r="F505" s="40"/>
      <c r="G505" s="40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4.25" customHeight="1">
      <c r="A506" s="41"/>
      <c r="B506" s="40"/>
      <c r="C506" s="40"/>
      <c r="D506" s="40"/>
      <c r="E506" s="40"/>
      <c r="F506" s="40"/>
      <c r="G506" s="40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4.25" customHeight="1">
      <c r="A507" s="41"/>
      <c r="B507" s="40"/>
      <c r="C507" s="40"/>
      <c r="D507" s="40"/>
      <c r="E507" s="40"/>
      <c r="F507" s="40"/>
      <c r="G507" s="40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4.25" customHeight="1">
      <c r="A508" s="41"/>
      <c r="B508" s="40"/>
      <c r="C508" s="40"/>
      <c r="D508" s="40"/>
      <c r="E508" s="40"/>
      <c r="F508" s="40"/>
      <c r="G508" s="40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4.25" customHeight="1">
      <c r="A509" s="41"/>
      <c r="B509" s="40"/>
      <c r="C509" s="40"/>
      <c r="D509" s="40"/>
      <c r="E509" s="40"/>
      <c r="F509" s="40"/>
      <c r="G509" s="40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4.25" customHeight="1">
      <c r="A510" s="41"/>
      <c r="B510" s="40"/>
      <c r="C510" s="40"/>
      <c r="D510" s="40"/>
      <c r="E510" s="40"/>
      <c r="F510" s="40"/>
      <c r="G510" s="40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4.25" customHeight="1">
      <c r="A511" s="41"/>
      <c r="B511" s="40"/>
      <c r="C511" s="40"/>
      <c r="D511" s="40"/>
      <c r="E511" s="40"/>
      <c r="F511" s="40"/>
      <c r="G511" s="40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4.25" customHeight="1">
      <c r="A512" s="41"/>
      <c r="B512" s="40"/>
      <c r="C512" s="40"/>
      <c r="D512" s="40"/>
      <c r="E512" s="40"/>
      <c r="F512" s="40"/>
      <c r="G512" s="40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4.25" customHeight="1">
      <c r="A513" s="41"/>
      <c r="B513" s="40"/>
      <c r="C513" s="40"/>
      <c r="D513" s="40"/>
      <c r="E513" s="40"/>
      <c r="F513" s="40"/>
      <c r="G513" s="40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4.25" customHeight="1">
      <c r="A514" s="41"/>
      <c r="B514" s="40"/>
      <c r="C514" s="40"/>
      <c r="D514" s="40"/>
      <c r="E514" s="40"/>
      <c r="F514" s="40"/>
      <c r="G514" s="40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4.25" customHeight="1">
      <c r="A515" s="41"/>
      <c r="B515" s="40"/>
      <c r="C515" s="40"/>
      <c r="D515" s="40"/>
      <c r="E515" s="40"/>
      <c r="F515" s="40"/>
      <c r="G515" s="40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4.25" customHeight="1">
      <c r="A516" s="41"/>
      <c r="B516" s="40"/>
      <c r="C516" s="40"/>
      <c r="D516" s="40"/>
      <c r="E516" s="40"/>
      <c r="F516" s="40"/>
      <c r="G516" s="40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4.25" customHeight="1">
      <c r="A517" s="41"/>
      <c r="B517" s="40"/>
      <c r="C517" s="40"/>
      <c r="D517" s="40"/>
      <c r="E517" s="40"/>
      <c r="F517" s="40"/>
      <c r="G517" s="40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4.25" customHeight="1">
      <c r="A518" s="41"/>
      <c r="B518" s="40"/>
      <c r="C518" s="40"/>
      <c r="D518" s="40"/>
      <c r="E518" s="40"/>
      <c r="F518" s="40"/>
      <c r="G518" s="40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4.25" customHeight="1">
      <c r="A519" s="41"/>
      <c r="B519" s="40"/>
      <c r="C519" s="40"/>
      <c r="D519" s="40"/>
      <c r="E519" s="40"/>
      <c r="F519" s="40"/>
      <c r="G519" s="40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4.25" customHeight="1">
      <c r="A520" s="41"/>
      <c r="B520" s="40"/>
      <c r="C520" s="40"/>
      <c r="D520" s="40"/>
      <c r="E520" s="40"/>
      <c r="F520" s="40"/>
      <c r="G520" s="40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4.25" customHeight="1">
      <c r="A521" s="41"/>
      <c r="B521" s="40"/>
      <c r="C521" s="40"/>
      <c r="D521" s="40"/>
      <c r="E521" s="40"/>
      <c r="F521" s="40"/>
      <c r="G521" s="40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4.25" customHeight="1">
      <c r="A522" s="41"/>
      <c r="B522" s="40"/>
      <c r="C522" s="40"/>
      <c r="D522" s="40"/>
      <c r="E522" s="40"/>
      <c r="F522" s="40"/>
      <c r="G522" s="40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4.25" customHeight="1">
      <c r="A523" s="41"/>
      <c r="B523" s="40"/>
      <c r="C523" s="40"/>
      <c r="D523" s="40"/>
      <c r="E523" s="40"/>
      <c r="F523" s="40"/>
      <c r="G523" s="40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4.25" customHeight="1">
      <c r="A524" s="41"/>
      <c r="B524" s="40"/>
      <c r="C524" s="40"/>
      <c r="D524" s="40"/>
      <c r="E524" s="40"/>
      <c r="F524" s="40"/>
      <c r="G524" s="40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4.25" customHeight="1">
      <c r="A525" s="41"/>
      <c r="B525" s="40"/>
      <c r="C525" s="40"/>
      <c r="D525" s="40"/>
      <c r="E525" s="40"/>
      <c r="F525" s="40"/>
      <c r="G525" s="40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4.25" customHeight="1">
      <c r="A526" s="41"/>
      <c r="B526" s="40"/>
      <c r="C526" s="40"/>
      <c r="D526" s="40"/>
      <c r="E526" s="40"/>
      <c r="F526" s="40"/>
      <c r="G526" s="40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4.25" customHeight="1">
      <c r="A527" s="41"/>
      <c r="B527" s="40"/>
      <c r="C527" s="40"/>
      <c r="D527" s="40"/>
      <c r="E527" s="40"/>
      <c r="F527" s="40"/>
      <c r="G527" s="40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4.25" customHeight="1">
      <c r="A528" s="41"/>
      <c r="B528" s="40"/>
      <c r="C528" s="40"/>
      <c r="D528" s="40"/>
      <c r="E528" s="40"/>
      <c r="F528" s="40"/>
      <c r="G528" s="40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4.25" customHeight="1">
      <c r="A529" s="41"/>
      <c r="B529" s="40"/>
      <c r="C529" s="40"/>
      <c r="D529" s="40"/>
      <c r="E529" s="40"/>
      <c r="F529" s="40"/>
      <c r="G529" s="40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4.25" customHeight="1">
      <c r="A530" s="41"/>
      <c r="B530" s="40"/>
      <c r="C530" s="40"/>
      <c r="D530" s="40"/>
      <c r="E530" s="40"/>
      <c r="F530" s="40"/>
      <c r="G530" s="40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4.25" customHeight="1">
      <c r="A531" s="41"/>
      <c r="B531" s="40"/>
      <c r="C531" s="40"/>
      <c r="D531" s="40"/>
      <c r="E531" s="40"/>
      <c r="F531" s="40"/>
      <c r="G531" s="40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4.25" customHeight="1">
      <c r="A532" s="41"/>
      <c r="B532" s="40"/>
      <c r="C532" s="40"/>
      <c r="D532" s="40"/>
      <c r="E532" s="40"/>
      <c r="F532" s="40"/>
      <c r="G532" s="40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4.25" customHeight="1">
      <c r="A533" s="41"/>
      <c r="B533" s="40"/>
      <c r="C533" s="40"/>
      <c r="D533" s="40"/>
      <c r="E533" s="40"/>
      <c r="F533" s="40"/>
      <c r="G533" s="40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4.25" customHeight="1">
      <c r="A534" s="41"/>
      <c r="B534" s="40"/>
      <c r="C534" s="40"/>
      <c r="D534" s="40"/>
      <c r="E534" s="40"/>
      <c r="F534" s="40"/>
      <c r="G534" s="40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4.25" customHeight="1">
      <c r="A535" s="41"/>
      <c r="B535" s="40"/>
      <c r="C535" s="40"/>
      <c r="D535" s="40"/>
      <c r="E535" s="40"/>
      <c r="F535" s="40"/>
      <c r="G535" s="40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4.25" customHeight="1">
      <c r="A536" s="41"/>
      <c r="B536" s="40"/>
      <c r="C536" s="40"/>
      <c r="D536" s="40"/>
      <c r="E536" s="40"/>
      <c r="F536" s="40"/>
      <c r="G536" s="40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4.25" customHeight="1">
      <c r="A537" s="41"/>
      <c r="B537" s="40"/>
      <c r="C537" s="40"/>
      <c r="D537" s="40"/>
      <c r="E537" s="40"/>
      <c r="F537" s="40"/>
      <c r="G537" s="40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4.25" customHeight="1">
      <c r="A538" s="41"/>
      <c r="B538" s="40"/>
      <c r="C538" s="40"/>
      <c r="D538" s="40"/>
      <c r="E538" s="40"/>
      <c r="F538" s="40"/>
      <c r="G538" s="40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4.25" customHeight="1">
      <c r="A539" s="41"/>
      <c r="B539" s="40"/>
      <c r="C539" s="40"/>
      <c r="D539" s="40"/>
      <c r="E539" s="40"/>
      <c r="F539" s="40"/>
      <c r="G539" s="40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4.25" customHeight="1">
      <c r="A540" s="41"/>
      <c r="B540" s="40"/>
      <c r="C540" s="40"/>
      <c r="D540" s="40"/>
      <c r="E540" s="40"/>
      <c r="F540" s="40"/>
      <c r="G540" s="40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4.25" customHeight="1">
      <c r="A541" s="41"/>
      <c r="B541" s="40"/>
      <c r="C541" s="40"/>
      <c r="D541" s="40"/>
      <c r="E541" s="40"/>
      <c r="F541" s="40"/>
      <c r="G541" s="40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4.25" customHeight="1">
      <c r="A542" s="41"/>
      <c r="B542" s="40"/>
      <c r="C542" s="40"/>
      <c r="D542" s="40"/>
      <c r="E542" s="40"/>
      <c r="F542" s="40"/>
      <c r="G542" s="40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4.25" customHeight="1">
      <c r="A543" s="41"/>
      <c r="B543" s="40"/>
      <c r="C543" s="40"/>
      <c r="D543" s="40"/>
      <c r="E543" s="40"/>
      <c r="F543" s="40"/>
      <c r="G543" s="40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4.25" customHeight="1">
      <c r="A544" s="41"/>
      <c r="B544" s="40"/>
      <c r="C544" s="40"/>
      <c r="D544" s="40"/>
      <c r="E544" s="40"/>
      <c r="F544" s="40"/>
      <c r="G544" s="40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4.25" customHeight="1">
      <c r="A545" s="41"/>
      <c r="B545" s="40"/>
      <c r="C545" s="40"/>
      <c r="D545" s="40"/>
      <c r="E545" s="40"/>
      <c r="F545" s="40"/>
      <c r="G545" s="40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4.25" customHeight="1">
      <c r="A546" s="41"/>
      <c r="B546" s="40"/>
      <c r="C546" s="40"/>
      <c r="D546" s="40"/>
      <c r="E546" s="40"/>
      <c r="F546" s="40"/>
      <c r="G546" s="40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4.25" customHeight="1">
      <c r="A547" s="41"/>
      <c r="B547" s="40"/>
      <c r="C547" s="40"/>
      <c r="D547" s="40"/>
      <c r="E547" s="40"/>
      <c r="F547" s="40"/>
      <c r="G547" s="40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4.25" customHeight="1">
      <c r="A548" s="41"/>
      <c r="B548" s="40"/>
      <c r="C548" s="40"/>
      <c r="D548" s="40"/>
      <c r="E548" s="40"/>
      <c r="F548" s="40"/>
      <c r="G548" s="40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4.25" customHeight="1">
      <c r="A549" s="41"/>
      <c r="B549" s="40"/>
      <c r="C549" s="40"/>
      <c r="D549" s="40"/>
      <c r="E549" s="40"/>
      <c r="F549" s="40"/>
      <c r="G549" s="40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4.25" customHeight="1">
      <c r="A550" s="41"/>
      <c r="B550" s="40"/>
      <c r="C550" s="40"/>
      <c r="D550" s="40"/>
      <c r="E550" s="40"/>
      <c r="F550" s="40"/>
      <c r="G550" s="40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4.25" customHeight="1">
      <c r="A551" s="41"/>
      <c r="B551" s="40"/>
      <c r="C551" s="40"/>
      <c r="D551" s="40"/>
      <c r="E551" s="40"/>
      <c r="F551" s="40"/>
      <c r="G551" s="40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4.25" customHeight="1">
      <c r="A552" s="41"/>
      <c r="B552" s="40"/>
      <c r="C552" s="40"/>
      <c r="D552" s="40"/>
      <c r="E552" s="40"/>
      <c r="F552" s="40"/>
      <c r="G552" s="40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4.25" customHeight="1">
      <c r="A553" s="41"/>
      <c r="B553" s="40"/>
      <c r="C553" s="40"/>
      <c r="D553" s="40"/>
      <c r="E553" s="40"/>
      <c r="F553" s="40"/>
      <c r="G553" s="40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4.25" customHeight="1">
      <c r="A554" s="41"/>
      <c r="B554" s="40"/>
      <c r="C554" s="40"/>
      <c r="D554" s="40"/>
      <c r="E554" s="40"/>
      <c r="F554" s="40"/>
      <c r="G554" s="40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4.25" customHeight="1">
      <c r="A555" s="41"/>
      <c r="B555" s="40"/>
      <c r="C555" s="40"/>
      <c r="D555" s="40"/>
      <c r="E555" s="40"/>
      <c r="F555" s="40"/>
      <c r="G555" s="40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4.25" customHeight="1">
      <c r="A556" s="41"/>
      <c r="B556" s="40"/>
      <c r="C556" s="40"/>
      <c r="D556" s="40"/>
      <c r="E556" s="40"/>
      <c r="F556" s="40"/>
      <c r="G556" s="40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4.25" customHeight="1">
      <c r="A557" s="41"/>
      <c r="B557" s="40"/>
      <c r="C557" s="40"/>
      <c r="D557" s="40"/>
      <c r="E557" s="40"/>
      <c r="F557" s="40"/>
      <c r="G557" s="40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4.25" customHeight="1">
      <c r="A558" s="41"/>
      <c r="B558" s="40"/>
      <c r="C558" s="40"/>
      <c r="D558" s="40"/>
      <c r="E558" s="40"/>
      <c r="F558" s="40"/>
      <c r="G558" s="40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4.25" customHeight="1">
      <c r="A559" s="41"/>
      <c r="B559" s="40"/>
      <c r="C559" s="40"/>
      <c r="D559" s="40"/>
      <c r="E559" s="40"/>
      <c r="F559" s="40"/>
      <c r="G559" s="40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4.25" customHeight="1">
      <c r="A560" s="41"/>
      <c r="B560" s="40"/>
      <c r="C560" s="40"/>
      <c r="D560" s="40"/>
      <c r="E560" s="40"/>
      <c r="F560" s="40"/>
      <c r="G560" s="40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4.25" customHeight="1">
      <c r="A561" s="41"/>
      <c r="B561" s="40"/>
      <c r="C561" s="40"/>
      <c r="D561" s="40"/>
      <c r="E561" s="40"/>
      <c r="F561" s="40"/>
      <c r="G561" s="40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4.25" customHeight="1">
      <c r="A562" s="41"/>
      <c r="B562" s="40"/>
      <c r="C562" s="40"/>
      <c r="D562" s="40"/>
      <c r="E562" s="40"/>
      <c r="F562" s="40"/>
      <c r="G562" s="40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4.25" customHeight="1">
      <c r="A563" s="41"/>
      <c r="B563" s="40"/>
      <c r="C563" s="40"/>
      <c r="D563" s="40"/>
      <c r="E563" s="40"/>
      <c r="F563" s="40"/>
      <c r="G563" s="40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4.25" customHeight="1">
      <c r="A564" s="41"/>
      <c r="B564" s="40"/>
      <c r="C564" s="40"/>
      <c r="D564" s="40"/>
      <c r="E564" s="40"/>
      <c r="F564" s="40"/>
      <c r="G564" s="40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4.25" customHeight="1">
      <c r="A565" s="41"/>
      <c r="B565" s="40"/>
      <c r="C565" s="40"/>
      <c r="D565" s="40"/>
      <c r="E565" s="40"/>
      <c r="F565" s="40"/>
      <c r="G565" s="40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4.25" customHeight="1">
      <c r="A566" s="41"/>
      <c r="B566" s="40"/>
      <c r="C566" s="40"/>
      <c r="D566" s="40"/>
      <c r="E566" s="40"/>
      <c r="F566" s="40"/>
      <c r="G566" s="40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4.25" customHeight="1">
      <c r="A567" s="41"/>
      <c r="B567" s="40"/>
      <c r="C567" s="40"/>
      <c r="D567" s="40"/>
      <c r="E567" s="40"/>
      <c r="F567" s="40"/>
      <c r="G567" s="40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4.25" customHeight="1">
      <c r="A568" s="41"/>
      <c r="B568" s="40"/>
      <c r="C568" s="40"/>
      <c r="D568" s="40"/>
      <c r="E568" s="40"/>
      <c r="F568" s="40"/>
      <c r="G568" s="40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4.25" customHeight="1">
      <c r="A569" s="41"/>
      <c r="B569" s="40"/>
      <c r="C569" s="40"/>
      <c r="D569" s="40"/>
      <c r="E569" s="40"/>
      <c r="F569" s="40"/>
      <c r="G569" s="40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4.25" customHeight="1">
      <c r="A570" s="41"/>
      <c r="B570" s="40"/>
      <c r="C570" s="40"/>
      <c r="D570" s="40"/>
      <c r="E570" s="40"/>
      <c r="F570" s="40"/>
      <c r="G570" s="40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4.25" customHeight="1">
      <c r="A571" s="41"/>
      <c r="B571" s="40"/>
      <c r="C571" s="40"/>
      <c r="D571" s="40"/>
      <c r="E571" s="40"/>
      <c r="F571" s="40"/>
      <c r="G571" s="40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4.25" customHeight="1">
      <c r="A572" s="41"/>
      <c r="B572" s="40"/>
      <c r="C572" s="40"/>
      <c r="D572" s="40"/>
      <c r="E572" s="40"/>
      <c r="F572" s="40"/>
      <c r="G572" s="40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4.25" customHeight="1">
      <c r="A573" s="41"/>
      <c r="B573" s="40"/>
      <c r="C573" s="40"/>
      <c r="D573" s="40"/>
      <c r="E573" s="40"/>
      <c r="F573" s="40"/>
      <c r="G573" s="40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4.25" customHeight="1">
      <c r="A574" s="41"/>
      <c r="B574" s="40"/>
      <c r="C574" s="40"/>
      <c r="D574" s="40"/>
      <c r="E574" s="40"/>
      <c r="F574" s="40"/>
      <c r="G574" s="40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4.25" customHeight="1">
      <c r="A575" s="41"/>
      <c r="B575" s="40"/>
      <c r="C575" s="40"/>
      <c r="D575" s="40"/>
      <c r="E575" s="40"/>
      <c r="F575" s="40"/>
      <c r="G575" s="40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4.25" customHeight="1">
      <c r="A576" s="41"/>
      <c r="B576" s="40"/>
      <c r="C576" s="40"/>
      <c r="D576" s="40"/>
      <c r="E576" s="40"/>
      <c r="F576" s="40"/>
      <c r="G576" s="40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4.25" customHeight="1">
      <c r="A577" s="41"/>
      <c r="B577" s="40"/>
      <c r="C577" s="40"/>
      <c r="D577" s="40"/>
      <c r="E577" s="40"/>
      <c r="F577" s="40"/>
      <c r="G577" s="40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4.25" customHeight="1">
      <c r="A578" s="41"/>
      <c r="B578" s="40"/>
      <c r="C578" s="40"/>
      <c r="D578" s="40"/>
      <c r="E578" s="40"/>
      <c r="F578" s="40"/>
      <c r="G578" s="40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4.25" customHeight="1">
      <c r="A579" s="41"/>
      <c r="B579" s="40"/>
      <c r="C579" s="40"/>
      <c r="D579" s="40"/>
      <c r="E579" s="40"/>
      <c r="F579" s="40"/>
      <c r="G579" s="40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4.25" customHeight="1">
      <c r="A580" s="41"/>
      <c r="B580" s="40"/>
      <c r="C580" s="40"/>
      <c r="D580" s="40"/>
      <c r="E580" s="40"/>
      <c r="F580" s="40"/>
      <c r="G580" s="40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4.25" customHeight="1">
      <c r="A581" s="41"/>
      <c r="B581" s="40"/>
      <c r="C581" s="40"/>
      <c r="D581" s="40"/>
      <c r="E581" s="40"/>
      <c r="F581" s="40"/>
      <c r="G581" s="40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4.25" customHeight="1">
      <c r="A582" s="41"/>
      <c r="B582" s="40"/>
      <c r="C582" s="40"/>
      <c r="D582" s="40"/>
      <c r="E582" s="40"/>
      <c r="F582" s="40"/>
      <c r="G582" s="40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4.25" customHeight="1">
      <c r="A583" s="41"/>
      <c r="B583" s="40"/>
      <c r="C583" s="40"/>
      <c r="D583" s="40"/>
      <c r="E583" s="40"/>
      <c r="F583" s="40"/>
      <c r="G583" s="40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4.25" customHeight="1">
      <c r="A584" s="41"/>
      <c r="B584" s="40"/>
      <c r="C584" s="40"/>
      <c r="D584" s="40"/>
      <c r="E584" s="40"/>
      <c r="F584" s="40"/>
      <c r="G584" s="40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4.25" customHeight="1">
      <c r="A585" s="41"/>
      <c r="B585" s="40"/>
      <c r="C585" s="40"/>
      <c r="D585" s="40"/>
      <c r="E585" s="40"/>
      <c r="F585" s="40"/>
      <c r="G585" s="40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4.25" customHeight="1">
      <c r="A586" s="41"/>
      <c r="B586" s="40"/>
      <c r="C586" s="40"/>
      <c r="D586" s="40"/>
      <c r="E586" s="40"/>
      <c r="F586" s="40"/>
      <c r="G586" s="40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4.25" customHeight="1">
      <c r="A587" s="41"/>
      <c r="B587" s="40"/>
      <c r="C587" s="40"/>
      <c r="D587" s="40"/>
      <c r="E587" s="40"/>
      <c r="F587" s="40"/>
      <c r="G587" s="40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4.25" customHeight="1">
      <c r="A588" s="41"/>
      <c r="B588" s="40"/>
      <c r="C588" s="40"/>
      <c r="D588" s="40"/>
      <c r="E588" s="40"/>
      <c r="F588" s="40"/>
      <c r="G588" s="40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4.25" customHeight="1">
      <c r="A589" s="41"/>
      <c r="B589" s="40"/>
      <c r="C589" s="40"/>
      <c r="D589" s="40"/>
      <c r="E589" s="40"/>
      <c r="F589" s="40"/>
      <c r="G589" s="40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4.25" customHeight="1">
      <c r="A590" s="41"/>
      <c r="B590" s="40"/>
      <c r="C590" s="40"/>
      <c r="D590" s="40"/>
      <c r="E590" s="40"/>
      <c r="F590" s="40"/>
      <c r="G590" s="40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4.25" customHeight="1">
      <c r="A591" s="41"/>
      <c r="B591" s="40"/>
      <c r="C591" s="40"/>
      <c r="D591" s="40"/>
      <c r="E591" s="40"/>
      <c r="F591" s="40"/>
      <c r="G591" s="40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4.25" customHeight="1">
      <c r="A592" s="41"/>
      <c r="B592" s="40"/>
      <c r="C592" s="40"/>
      <c r="D592" s="40"/>
      <c r="E592" s="40"/>
      <c r="F592" s="40"/>
      <c r="G592" s="40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4.25" customHeight="1">
      <c r="A593" s="41"/>
      <c r="B593" s="40"/>
      <c r="C593" s="40"/>
      <c r="D593" s="40"/>
      <c r="E593" s="40"/>
      <c r="F593" s="40"/>
      <c r="G593" s="40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4.25" customHeight="1">
      <c r="A594" s="41"/>
      <c r="B594" s="40"/>
      <c r="C594" s="40"/>
      <c r="D594" s="40"/>
      <c r="E594" s="40"/>
      <c r="F594" s="40"/>
      <c r="G594" s="40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4.25" customHeight="1">
      <c r="A595" s="41"/>
      <c r="B595" s="40"/>
      <c r="C595" s="40"/>
      <c r="D595" s="40"/>
      <c r="E595" s="40"/>
      <c r="F595" s="40"/>
      <c r="G595" s="40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4.25" customHeight="1">
      <c r="A596" s="41"/>
      <c r="B596" s="40"/>
      <c r="C596" s="40"/>
      <c r="D596" s="40"/>
      <c r="E596" s="40"/>
      <c r="F596" s="40"/>
      <c r="G596" s="40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4.25" customHeight="1">
      <c r="A597" s="41"/>
      <c r="B597" s="40"/>
      <c r="C597" s="40"/>
      <c r="D597" s="40"/>
      <c r="E597" s="40"/>
      <c r="F597" s="40"/>
      <c r="G597" s="40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4.25" customHeight="1">
      <c r="A598" s="41"/>
      <c r="B598" s="40"/>
      <c r="C598" s="40"/>
      <c r="D598" s="40"/>
      <c r="E598" s="40"/>
      <c r="F598" s="40"/>
      <c r="G598" s="40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4.25" customHeight="1">
      <c r="A599" s="41"/>
      <c r="B599" s="40"/>
      <c r="C599" s="40"/>
      <c r="D599" s="40"/>
      <c r="E599" s="40"/>
      <c r="F599" s="40"/>
      <c r="G599" s="40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4.25" customHeight="1">
      <c r="A600" s="41"/>
      <c r="B600" s="40"/>
      <c r="C600" s="40"/>
      <c r="D600" s="40"/>
      <c r="E600" s="40"/>
      <c r="F600" s="40"/>
      <c r="G600" s="40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4.25" customHeight="1">
      <c r="A601" s="41"/>
      <c r="B601" s="40"/>
      <c r="C601" s="40"/>
      <c r="D601" s="40"/>
      <c r="E601" s="40"/>
      <c r="F601" s="40"/>
      <c r="G601" s="40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4.25" customHeight="1">
      <c r="A602" s="41"/>
      <c r="B602" s="40"/>
      <c r="C602" s="40"/>
      <c r="D602" s="40"/>
      <c r="E602" s="40"/>
      <c r="F602" s="40"/>
      <c r="G602" s="40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4.25" customHeight="1">
      <c r="A603" s="41"/>
      <c r="B603" s="40"/>
      <c r="C603" s="40"/>
      <c r="D603" s="40"/>
      <c r="E603" s="40"/>
      <c r="F603" s="40"/>
      <c r="G603" s="40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4.25" customHeight="1">
      <c r="A604" s="41"/>
      <c r="B604" s="40"/>
      <c r="C604" s="40"/>
      <c r="D604" s="40"/>
      <c r="E604" s="40"/>
      <c r="F604" s="40"/>
      <c r="G604" s="40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4.25" customHeight="1">
      <c r="A605" s="41"/>
      <c r="B605" s="40"/>
      <c r="C605" s="40"/>
      <c r="D605" s="40"/>
      <c r="E605" s="40"/>
      <c r="F605" s="40"/>
      <c r="G605" s="40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4.25" customHeight="1">
      <c r="A606" s="41"/>
      <c r="B606" s="40"/>
      <c r="C606" s="40"/>
      <c r="D606" s="40"/>
      <c r="E606" s="40"/>
      <c r="F606" s="40"/>
      <c r="G606" s="40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4.25" customHeight="1">
      <c r="A607" s="41"/>
      <c r="B607" s="40"/>
      <c r="C607" s="40"/>
      <c r="D607" s="40"/>
      <c r="E607" s="40"/>
      <c r="F607" s="40"/>
      <c r="G607" s="40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4.25" customHeight="1">
      <c r="A608" s="41"/>
      <c r="B608" s="40"/>
      <c r="C608" s="40"/>
      <c r="D608" s="40"/>
      <c r="E608" s="40"/>
      <c r="F608" s="40"/>
      <c r="G608" s="40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4.25" customHeight="1">
      <c r="A609" s="41"/>
      <c r="B609" s="40"/>
      <c r="C609" s="40"/>
      <c r="D609" s="40"/>
      <c r="E609" s="40"/>
      <c r="F609" s="40"/>
      <c r="G609" s="40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4.25" customHeight="1">
      <c r="A610" s="41"/>
      <c r="B610" s="40"/>
      <c r="C610" s="40"/>
      <c r="D610" s="40"/>
      <c r="E610" s="40"/>
      <c r="F610" s="40"/>
      <c r="G610" s="40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4.25" customHeight="1">
      <c r="A611" s="41"/>
      <c r="B611" s="40"/>
      <c r="C611" s="40"/>
      <c r="D611" s="40"/>
      <c r="E611" s="40"/>
      <c r="F611" s="40"/>
      <c r="G611" s="40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4.25" customHeight="1">
      <c r="A612" s="41"/>
      <c r="B612" s="40"/>
      <c r="C612" s="40"/>
      <c r="D612" s="40"/>
      <c r="E612" s="40"/>
      <c r="F612" s="40"/>
      <c r="G612" s="40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4.25" customHeight="1">
      <c r="A613" s="41"/>
      <c r="B613" s="40"/>
      <c r="C613" s="40"/>
      <c r="D613" s="40"/>
      <c r="E613" s="40"/>
      <c r="F613" s="40"/>
      <c r="G613" s="40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4.25" customHeight="1">
      <c r="A614" s="41"/>
      <c r="B614" s="40"/>
      <c r="C614" s="40"/>
      <c r="D614" s="40"/>
      <c r="E614" s="40"/>
      <c r="F614" s="40"/>
      <c r="G614" s="40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4.25" customHeight="1">
      <c r="A615" s="41"/>
      <c r="B615" s="40"/>
      <c r="C615" s="40"/>
      <c r="D615" s="40"/>
      <c r="E615" s="40"/>
      <c r="F615" s="40"/>
      <c r="G615" s="40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4.25" customHeight="1">
      <c r="A616" s="41"/>
      <c r="B616" s="40"/>
      <c r="C616" s="40"/>
      <c r="D616" s="40"/>
      <c r="E616" s="40"/>
      <c r="F616" s="40"/>
      <c r="G616" s="40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4.25" customHeight="1">
      <c r="A617" s="41"/>
      <c r="B617" s="40"/>
      <c r="C617" s="40"/>
      <c r="D617" s="40"/>
      <c r="E617" s="40"/>
      <c r="F617" s="40"/>
      <c r="G617" s="40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4.25" customHeight="1">
      <c r="A618" s="41"/>
      <c r="B618" s="40"/>
      <c r="C618" s="40"/>
      <c r="D618" s="40"/>
      <c r="E618" s="40"/>
      <c r="F618" s="40"/>
      <c r="G618" s="40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4.25" customHeight="1">
      <c r="A619" s="41"/>
      <c r="B619" s="40"/>
      <c r="C619" s="40"/>
      <c r="D619" s="40"/>
      <c r="E619" s="40"/>
      <c r="F619" s="40"/>
      <c r="G619" s="40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4.25" customHeight="1">
      <c r="A620" s="41"/>
      <c r="B620" s="40"/>
      <c r="C620" s="40"/>
      <c r="D620" s="40"/>
      <c r="E620" s="40"/>
      <c r="F620" s="40"/>
      <c r="G620" s="40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4.25" customHeight="1">
      <c r="A621" s="41"/>
      <c r="B621" s="40"/>
      <c r="C621" s="40"/>
      <c r="D621" s="40"/>
      <c r="E621" s="40"/>
      <c r="F621" s="40"/>
      <c r="G621" s="40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4.25" customHeight="1">
      <c r="A622" s="41"/>
      <c r="B622" s="40"/>
      <c r="C622" s="40"/>
      <c r="D622" s="40"/>
      <c r="E622" s="40"/>
      <c r="F622" s="40"/>
      <c r="G622" s="40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4.25" customHeight="1">
      <c r="A623" s="41"/>
      <c r="B623" s="40"/>
      <c r="C623" s="40"/>
      <c r="D623" s="40"/>
      <c r="E623" s="40"/>
      <c r="F623" s="40"/>
      <c r="G623" s="40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4.25" customHeight="1">
      <c r="A624" s="41"/>
      <c r="B624" s="40"/>
      <c r="C624" s="40"/>
      <c r="D624" s="40"/>
      <c r="E624" s="40"/>
      <c r="F624" s="40"/>
      <c r="G624" s="40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4.25" customHeight="1">
      <c r="A625" s="41"/>
      <c r="B625" s="40"/>
      <c r="C625" s="40"/>
      <c r="D625" s="40"/>
      <c r="E625" s="40"/>
      <c r="F625" s="40"/>
      <c r="G625" s="40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4.25" customHeight="1">
      <c r="A626" s="41"/>
      <c r="B626" s="40"/>
      <c r="C626" s="40"/>
      <c r="D626" s="40"/>
      <c r="E626" s="40"/>
      <c r="F626" s="40"/>
      <c r="G626" s="40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4.25" customHeight="1">
      <c r="A627" s="41"/>
      <c r="B627" s="40"/>
      <c r="C627" s="40"/>
      <c r="D627" s="40"/>
      <c r="E627" s="40"/>
      <c r="F627" s="40"/>
      <c r="G627" s="40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4.25" customHeight="1">
      <c r="A628" s="41"/>
      <c r="B628" s="40"/>
      <c r="C628" s="40"/>
      <c r="D628" s="40"/>
      <c r="E628" s="40"/>
      <c r="F628" s="40"/>
      <c r="G628" s="40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4.25" customHeight="1">
      <c r="A629" s="41"/>
      <c r="B629" s="40"/>
      <c r="C629" s="40"/>
      <c r="D629" s="40"/>
      <c r="E629" s="40"/>
      <c r="F629" s="40"/>
      <c r="G629" s="40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4.25" customHeight="1">
      <c r="A630" s="41"/>
      <c r="B630" s="40"/>
      <c r="C630" s="40"/>
      <c r="D630" s="40"/>
      <c r="E630" s="40"/>
      <c r="F630" s="40"/>
      <c r="G630" s="40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4.25" customHeight="1">
      <c r="A631" s="41"/>
      <c r="B631" s="40"/>
      <c r="C631" s="40"/>
      <c r="D631" s="40"/>
      <c r="E631" s="40"/>
      <c r="F631" s="40"/>
      <c r="G631" s="40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4.25" customHeight="1">
      <c r="A632" s="41"/>
      <c r="B632" s="40"/>
      <c r="C632" s="40"/>
      <c r="D632" s="40"/>
      <c r="E632" s="40"/>
      <c r="F632" s="40"/>
      <c r="G632" s="40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4.25" customHeight="1">
      <c r="A633" s="41"/>
      <c r="B633" s="40"/>
      <c r="C633" s="40"/>
      <c r="D633" s="40"/>
      <c r="E633" s="40"/>
      <c r="F633" s="40"/>
      <c r="G633" s="40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4.25" customHeight="1">
      <c r="A634" s="41"/>
      <c r="B634" s="40"/>
      <c r="C634" s="40"/>
      <c r="D634" s="40"/>
      <c r="E634" s="40"/>
      <c r="F634" s="40"/>
      <c r="G634" s="40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4.25" customHeight="1">
      <c r="A635" s="41"/>
      <c r="B635" s="40"/>
      <c r="C635" s="40"/>
      <c r="D635" s="40"/>
      <c r="E635" s="40"/>
      <c r="F635" s="40"/>
      <c r="G635" s="40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4.25" customHeight="1">
      <c r="A636" s="41"/>
      <c r="B636" s="40"/>
      <c r="C636" s="40"/>
      <c r="D636" s="40"/>
      <c r="E636" s="40"/>
      <c r="F636" s="40"/>
      <c r="G636" s="40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4.25" customHeight="1">
      <c r="A637" s="41"/>
      <c r="B637" s="40"/>
      <c r="C637" s="40"/>
      <c r="D637" s="40"/>
      <c r="E637" s="40"/>
      <c r="F637" s="40"/>
      <c r="G637" s="40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4.25" customHeight="1">
      <c r="A638" s="41"/>
      <c r="B638" s="40"/>
      <c r="C638" s="40"/>
      <c r="D638" s="40"/>
      <c r="E638" s="40"/>
      <c r="F638" s="40"/>
      <c r="G638" s="40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4.25" customHeight="1">
      <c r="A639" s="41"/>
      <c r="B639" s="40"/>
      <c r="C639" s="40"/>
      <c r="D639" s="40"/>
      <c r="E639" s="40"/>
      <c r="F639" s="40"/>
      <c r="G639" s="40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4.25" customHeight="1">
      <c r="A640" s="41"/>
      <c r="B640" s="40"/>
      <c r="C640" s="40"/>
      <c r="D640" s="40"/>
      <c r="E640" s="40"/>
      <c r="F640" s="40"/>
      <c r="G640" s="40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4.25" customHeight="1">
      <c r="A641" s="41"/>
      <c r="B641" s="40"/>
      <c r="C641" s="40"/>
      <c r="D641" s="40"/>
      <c r="E641" s="40"/>
      <c r="F641" s="40"/>
      <c r="G641" s="40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4.25" customHeight="1">
      <c r="A642" s="41"/>
      <c r="B642" s="40"/>
      <c r="C642" s="40"/>
      <c r="D642" s="40"/>
      <c r="E642" s="40"/>
      <c r="F642" s="40"/>
      <c r="G642" s="40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4.25" customHeight="1">
      <c r="A643" s="41"/>
      <c r="B643" s="40"/>
      <c r="C643" s="40"/>
      <c r="D643" s="40"/>
      <c r="E643" s="40"/>
      <c r="F643" s="40"/>
      <c r="G643" s="40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4.25" customHeight="1">
      <c r="A644" s="41"/>
      <c r="B644" s="40"/>
      <c r="C644" s="40"/>
      <c r="D644" s="40"/>
      <c r="E644" s="40"/>
      <c r="F644" s="40"/>
      <c r="G644" s="40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4.25" customHeight="1">
      <c r="A645" s="41"/>
      <c r="B645" s="40"/>
      <c r="C645" s="40"/>
      <c r="D645" s="40"/>
      <c r="E645" s="40"/>
      <c r="F645" s="40"/>
      <c r="G645" s="40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4.25" customHeight="1">
      <c r="A646" s="41"/>
      <c r="B646" s="40"/>
      <c r="C646" s="40"/>
      <c r="D646" s="40"/>
      <c r="E646" s="40"/>
      <c r="F646" s="40"/>
      <c r="G646" s="40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4.25" customHeight="1">
      <c r="A647" s="41"/>
      <c r="B647" s="40"/>
      <c r="C647" s="40"/>
      <c r="D647" s="40"/>
      <c r="E647" s="40"/>
      <c r="F647" s="40"/>
      <c r="G647" s="40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4.25" customHeight="1">
      <c r="A648" s="41"/>
      <c r="B648" s="40"/>
      <c r="C648" s="40"/>
      <c r="D648" s="40"/>
      <c r="E648" s="40"/>
      <c r="F648" s="40"/>
      <c r="G648" s="40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4.25" customHeight="1">
      <c r="A649" s="41"/>
      <c r="B649" s="40"/>
      <c r="C649" s="40"/>
      <c r="D649" s="40"/>
      <c r="E649" s="40"/>
      <c r="F649" s="40"/>
      <c r="G649" s="40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4.25" customHeight="1">
      <c r="A650" s="41"/>
      <c r="B650" s="40"/>
      <c r="C650" s="40"/>
      <c r="D650" s="40"/>
      <c r="E650" s="40"/>
      <c r="F650" s="40"/>
      <c r="G650" s="40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4.25" customHeight="1">
      <c r="A651" s="41"/>
      <c r="B651" s="40"/>
      <c r="C651" s="40"/>
      <c r="D651" s="40"/>
      <c r="E651" s="40"/>
      <c r="F651" s="40"/>
      <c r="G651" s="40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4.25" customHeight="1">
      <c r="A652" s="41"/>
      <c r="B652" s="40"/>
      <c r="C652" s="40"/>
      <c r="D652" s="40"/>
      <c r="E652" s="40"/>
      <c r="F652" s="40"/>
      <c r="G652" s="40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4.25" customHeight="1">
      <c r="A653" s="41"/>
      <c r="B653" s="40"/>
      <c r="C653" s="40"/>
      <c r="D653" s="40"/>
      <c r="E653" s="40"/>
      <c r="F653" s="40"/>
      <c r="G653" s="40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4.25" customHeight="1">
      <c r="A654" s="41"/>
      <c r="B654" s="40"/>
      <c r="C654" s="40"/>
      <c r="D654" s="40"/>
      <c r="E654" s="40"/>
      <c r="F654" s="40"/>
      <c r="G654" s="40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4.25" customHeight="1">
      <c r="A655" s="41"/>
      <c r="B655" s="40"/>
      <c r="C655" s="40"/>
      <c r="D655" s="40"/>
      <c r="E655" s="40"/>
      <c r="F655" s="40"/>
      <c r="G655" s="40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4.25" customHeight="1">
      <c r="A656" s="41"/>
      <c r="B656" s="40"/>
      <c r="C656" s="40"/>
      <c r="D656" s="40"/>
      <c r="E656" s="40"/>
      <c r="F656" s="40"/>
      <c r="G656" s="40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4.25" customHeight="1">
      <c r="A657" s="41"/>
      <c r="B657" s="40"/>
      <c r="C657" s="40"/>
      <c r="D657" s="40"/>
      <c r="E657" s="40"/>
      <c r="F657" s="40"/>
      <c r="G657" s="40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4.25" customHeight="1">
      <c r="A658" s="41"/>
      <c r="B658" s="40"/>
      <c r="C658" s="40"/>
      <c r="D658" s="40"/>
      <c r="E658" s="40"/>
      <c r="F658" s="40"/>
      <c r="G658" s="40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4.25" customHeight="1">
      <c r="A659" s="41"/>
      <c r="B659" s="40"/>
      <c r="C659" s="40"/>
      <c r="D659" s="40"/>
      <c r="E659" s="40"/>
      <c r="F659" s="40"/>
      <c r="G659" s="40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4.25" customHeight="1">
      <c r="A660" s="41"/>
      <c r="B660" s="40"/>
      <c r="C660" s="40"/>
      <c r="D660" s="40"/>
      <c r="E660" s="40"/>
      <c r="F660" s="40"/>
      <c r="G660" s="40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4.25" customHeight="1">
      <c r="A661" s="41"/>
      <c r="B661" s="40"/>
      <c r="C661" s="40"/>
      <c r="D661" s="40"/>
      <c r="E661" s="40"/>
      <c r="F661" s="40"/>
      <c r="G661" s="40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4.25" customHeight="1">
      <c r="A662" s="41"/>
      <c r="B662" s="40"/>
      <c r="C662" s="40"/>
      <c r="D662" s="40"/>
      <c r="E662" s="40"/>
      <c r="F662" s="40"/>
      <c r="G662" s="40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4.25" customHeight="1">
      <c r="A663" s="41"/>
      <c r="B663" s="40"/>
      <c r="C663" s="40"/>
      <c r="D663" s="40"/>
      <c r="E663" s="40"/>
      <c r="F663" s="40"/>
      <c r="G663" s="40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4.25" customHeight="1">
      <c r="A664" s="41"/>
      <c r="B664" s="40"/>
      <c r="C664" s="40"/>
      <c r="D664" s="40"/>
      <c r="E664" s="40"/>
      <c r="F664" s="40"/>
      <c r="G664" s="40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4.25" customHeight="1">
      <c r="A665" s="41"/>
      <c r="B665" s="40"/>
      <c r="C665" s="40"/>
      <c r="D665" s="40"/>
      <c r="E665" s="40"/>
      <c r="F665" s="40"/>
      <c r="G665" s="40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4.25" customHeight="1">
      <c r="A666" s="41"/>
      <c r="B666" s="40"/>
      <c r="C666" s="40"/>
      <c r="D666" s="40"/>
      <c r="E666" s="40"/>
      <c r="F666" s="40"/>
      <c r="G666" s="40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4.25" customHeight="1">
      <c r="A667" s="41"/>
      <c r="B667" s="40"/>
      <c r="C667" s="40"/>
      <c r="D667" s="40"/>
      <c r="E667" s="40"/>
      <c r="F667" s="40"/>
      <c r="G667" s="40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4.25" customHeight="1">
      <c r="A668" s="41"/>
      <c r="B668" s="40"/>
      <c r="C668" s="40"/>
      <c r="D668" s="40"/>
      <c r="E668" s="40"/>
      <c r="F668" s="40"/>
      <c r="G668" s="40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4.25" customHeight="1">
      <c r="A669" s="41"/>
      <c r="B669" s="40"/>
      <c r="C669" s="40"/>
      <c r="D669" s="40"/>
      <c r="E669" s="40"/>
      <c r="F669" s="40"/>
      <c r="G669" s="40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4.25" customHeight="1">
      <c r="A670" s="41"/>
      <c r="B670" s="40"/>
      <c r="C670" s="40"/>
      <c r="D670" s="40"/>
      <c r="E670" s="40"/>
      <c r="F670" s="40"/>
      <c r="G670" s="40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4.25" customHeight="1">
      <c r="A671" s="41"/>
      <c r="B671" s="40"/>
      <c r="C671" s="40"/>
      <c r="D671" s="40"/>
      <c r="E671" s="40"/>
      <c r="F671" s="40"/>
      <c r="G671" s="40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4.25" customHeight="1">
      <c r="A672" s="41"/>
      <c r="B672" s="40"/>
      <c r="C672" s="40"/>
      <c r="D672" s="40"/>
      <c r="E672" s="40"/>
      <c r="F672" s="40"/>
      <c r="G672" s="40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4.25" customHeight="1">
      <c r="A673" s="41"/>
      <c r="B673" s="40"/>
      <c r="C673" s="40"/>
      <c r="D673" s="40"/>
      <c r="E673" s="40"/>
      <c r="F673" s="40"/>
      <c r="G673" s="40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4.25" customHeight="1">
      <c r="A674" s="41"/>
      <c r="B674" s="40"/>
      <c r="C674" s="40"/>
      <c r="D674" s="40"/>
      <c r="E674" s="40"/>
      <c r="F674" s="40"/>
      <c r="G674" s="40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4.25" customHeight="1">
      <c r="A675" s="41"/>
      <c r="B675" s="40"/>
      <c r="C675" s="40"/>
      <c r="D675" s="40"/>
      <c r="E675" s="40"/>
      <c r="F675" s="40"/>
      <c r="G675" s="40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4.25" customHeight="1">
      <c r="A676" s="41"/>
      <c r="B676" s="40"/>
      <c r="C676" s="40"/>
      <c r="D676" s="40"/>
      <c r="E676" s="40"/>
      <c r="F676" s="40"/>
      <c r="G676" s="40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4.25" customHeight="1">
      <c r="A677" s="41"/>
      <c r="B677" s="40"/>
      <c r="C677" s="40"/>
      <c r="D677" s="40"/>
      <c r="E677" s="40"/>
      <c r="F677" s="40"/>
      <c r="G677" s="40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4.25" customHeight="1">
      <c r="A678" s="41"/>
      <c r="B678" s="40"/>
      <c r="C678" s="40"/>
      <c r="D678" s="40"/>
      <c r="E678" s="40"/>
      <c r="F678" s="40"/>
      <c r="G678" s="40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4.25" customHeight="1">
      <c r="A679" s="41"/>
      <c r="B679" s="40"/>
      <c r="C679" s="40"/>
      <c r="D679" s="40"/>
      <c r="E679" s="40"/>
      <c r="F679" s="40"/>
      <c r="G679" s="40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4.25" customHeight="1">
      <c r="A680" s="41"/>
      <c r="B680" s="40"/>
      <c r="C680" s="40"/>
      <c r="D680" s="40"/>
      <c r="E680" s="40"/>
      <c r="F680" s="40"/>
      <c r="G680" s="40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4.25" customHeight="1">
      <c r="A681" s="41"/>
      <c r="B681" s="40"/>
      <c r="C681" s="40"/>
      <c r="D681" s="40"/>
      <c r="E681" s="40"/>
      <c r="F681" s="40"/>
      <c r="G681" s="40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4.25" customHeight="1">
      <c r="A682" s="41"/>
      <c r="B682" s="40"/>
      <c r="C682" s="40"/>
      <c r="D682" s="40"/>
      <c r="E682" s="40"/>
      <c r="F682" s="40"/>
      <c r="G682" s="40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4.25" customHeight="1">
      <c r="A683" s="41"/>
      <c r="B683" s="40"/>
      <c r="C683" s="40"/>
      <c r="D683" s="40"/>
      <c r="E683" s="40"/>
      <c r="F683" s="40"/>
      <c r="G683" s="40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4.25" customHeight="1">
      <c r="A684" s="41"/>
      <c r="B684" s="40"/>
      <c r="C684" s="40"/>
      <c r="D684" s="40"/>
      <c r="E684" s="40"/>
      <c r="F684" s="40"/>
      <c r="G684" s="40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4.25" customHeight="1">
      <c r="A685" s="41"/>
      <c r="B685" s="40"/>
      <c r="C685" s="40"/>
      <c r="D685" s="40"/>
      <c r="E685" s="40"/>
      <c r="F685" s="40"/>
      <c r="G685" s="40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4.25" customHeight="1">
      <c r="A686" s="41"/>
      <c r="B686" s="40"/>
      <c r="C686" s="40"/>
      <c r="D686" s="40"/>
      <c r="E686" s="40"/>
      <c r="F686" s="40"/>
      <c r="G686" s="40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4.25" customHeight="1">
      <c r="A687" s="41"/>
      <c r="B687" s="40"/>
      <c r="C687" s="40"/>
      <c r="D687" s="40"/>
      <c r="E687" s="40"/>
      <c r="F687" s="40"/>
      <c r="G687" s="40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4.25" customHeight="1">
      <c r="A688" s="41"/>
      <c r="B688" s="40"/>
      <c r="C688" s="40"/>
      <c r="D688" s="40"/>
      <c r="E688" s="40"/>
      <c r="F688" s="40"/>
      <c r="G688" s="40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4.25" customHeight="1">
      <c r="A689" s="41"/>
      <c r="B689" s="40"/>
      <c r="C689" s="40"/>
      <c r="D689" s="40"/>
      <c r="E689" s="40"/>
      <c r="F689" s="40"/>
      <c r="G689" s="40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4.25" customHeight="1">
      <c r="A690" s="41"/>
      <c r="B690" s="40"/>
      <c r="C690" s="40"/>
      <c r="D690" s="40"/>
      <c r="E690" s="40"/>
      <c r="F690" s="40"/>
      <c r="G690" s="40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4.25" customHeight="1">
      <c r="A691" s="41"/>
      <c r="B691" s="40"/>
      <c r="C691" s="40"/>
      <c r="D691" s="40"/>
      <c r="E691" s="40"/>
      <c r="F691" s="40"/>
      <c r="G691" s="40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4.25" customHeight="1">
      <c r="A692" s="41"/>
      <c r="B692" s="40"/>
      <c r="C692" s="40"/>
      <c r="D692" s="40"/>
      <c r="E692" s="40"/>
      <c r="F692" s="40"/>
      <c r="G692" s="40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4.25" customHeight="1">
      <c r="A693" s="41"/>
      <c r="B693" s="40"/>
      <c r="C693" s="40"/>
      <c r="D693" s="40"/>
      <c r="E693" s="40"/>
      <c r="F693" s="40"/>
      <c r="G693" s="40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4.25" customHeight="1">
      <c r="A694" s="41"/>
      <c r="B694" s="40"/>
      <c r="C694" s="40"/>
      <c r="D694" s="40"/>
      <c r="E694" s="40"/>
      <c r="F694" s="40"/>
      <c r="G694" s="40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4.25" customHeight="1">
      <c r="A695" s="41"/>
      <c r="B695" s="40"/>
      <c r="C695" s="40"/>
      <c r="D695" s="40"/>
      <c r="E695" s="40"/>
      <c r="F695" s="40"/>
      <c r="G695" s="40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4.25" customHeight="1">
      <c r="A696" s="41"/>
      <c r="B696" s="40"/>
      <c r="C696" s="40"/>
      <c r="D696" s="40"/>
      <c r="E696" s="40"/>
      <c r="F696" s="40"/>
      <c r="G696" s="40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4.25" customHeight="1">
      <c r="A697" s="41"/>
      <c r="B697" s="40"/>
      <c r="C697" s="40"/>
      <c r="D697" s="40"/>
      <c r="E697" s="40"/>
      <c r="F697" s="40"/>
      <c r="G697" s="40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4.25" customHeight="1">
      <c r="A698" s="41"/>
      <c r="B698" s="40"/>
      <c r="C698" s="40"/>
      <c r="D698" s="40"/>
      <c r="E698" s="40"/>
      <c r="F698" s="40"/>
      <c r="G698" s="40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4.25" customHeight="1">
      <c r="A699" s="41"/>
      <c r="B699" s="40"/>
      <c r="C699" s="40"/>
      <c r="D699" s="40"/>
      <c r="E699" s="40"/>
      <c r="F699" s="40"/>
      <c r="G699" s="40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4.25" customHeight="1">
      <c r="A700" s="41"/>
      <c r="B700" s="40"/>
      <c r="C700" s="40"/>
      <c r="D700" s="40"/>
      <c r="E700" s="40"/>
      <c r="F700" s="40"/>
      <c r="G700" s="40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4.25" customHeight="1">
      <c r="A701" s="41"/>
      <c r="B701" s="40"/>
      <c r="C701" s="40"/>
      <c r="D701" s="40"/>
      <c r="E701" s="40"/>
      <c r="F701" s="40"/>
      <c r="G701" s="40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4.25" customHeight="1">
      <c r="A702" s="41"/>
      <c r="B702" s="40"/>
      <c r="C702" s="40"/>
      <c r="D702" s="40"/>
      <c r="E702" s="40"/>
      <c r="F702" s="40"/>
      <c r="G702" s="40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4.25" customHeight="1">
      <c r="A703" s="41"/>
      <c r="B703" s="40"/>
      <c r="C703" s="40"/>
      <c r="D703" s="40"/>
      <c r="E703" s="40"/>
      <c r="F703" s="40"/>
      <c r="G703" s="40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4.25" customHeight="1">
      <c r="A704" s="41"/>
      <c r="B704" s="40"/>
      <c r="C704" s="40"/>
      <c r="D704" s="40"/>
      <c r="E704" s="40"/>
      <c r="F704" s="40"/>
      <c r="G704" s="40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4.25" customHeight="1">
      <c r="A705" s="41"/>
      <c r="B705" s="40"/>
      <c r="C705" s="40"/>
      <c r="D705" s="40"/>
      <c r="E705" s="40"/>
      <c r="F705" s="40"/>
      <c r="G705" s="40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4.25" customHeight="1">
      <c r="A706" s="41"/>
      <c r="B706" s="40"/>
      <c r="C706" s="40"/>
      <c r="D706" s="40"/>
      <c r="E706" s="40"/>
      <c r="F706" s="40"/>
      <c r="G706" s="40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4.25" customHeight="1">
      <c r="A707" s="41"/>
      <c r="B707" s="40"/>
      <c r="C707" s="40"/>
      <c r="D707" s="40"/>
      <c r="E707" s="40"/>
      <c r="F707" s="40"/>
      <c r="G707" s="40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4.25" customHeight="1">
      <c r="A708" s="41"/>
      <c r="B708" s="40"/>
      <c r="C708" s="40"/>
      <c r="D708" s="40"/>
      <c r="E708" s="40"/>
      <c r="F708" s="40"/>
      <c r="G708" s="40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4.25" customHeight="1">
      <c r="A709" s="41"/>
      <c r="B709" s="40"/>
      <c r="C709" s="40"/>
      <c r="D709" s="40"/>
      <c r="E709" s="40"/>
      <c r="F709" s="40"/>
      <c r="G709" s="40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4.25" customHeight="1">
      <c r="A710" s="41"/>
      <c r="B710" s="40"/>
      <c r="C710" s="40"/>
      <c r="D710" s="40"/>
      <c r="E710" s="40"/>
      <c r="F710" s="40"/>
      <c r="G710" s="40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4.25" customHeight="1">
      <c r="A711" s="41"/>
      <c r="B711" s="40"/>
      <c r="C711" s="40"/>
      <c r="D711" s="40"/>
      <c r="E711" s="40"/>
      <c r="F711" s="40"/>
      <c r="G711" s="40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4.25" customHeight="1">
      <c r="A712" s="41"/>
      <c r="B712" s="40"/>
      <c r="C712" s="40"/>
      <c r="D712" s="40"/>
      <c r="E712" s="40"/>
      <c r="F712" s="40"/>
      <c r="G712" s="40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4.25" customHeight="1">
      <c r="A713" s="41"/>
      <c r="B713" s="40"/>
      <c r="C713" s="40"/>
      <c r="D713" s="40"/>
      <c r="E713" s="40"/>
      <c r="F713" s="40"/>
      <c r="G713" s="40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4.25" customHeight="1">
      <c r="A714" s="41"/>
      <c r="B714" s="40"/>
      <c r="C714" s="40"/>
      <c r="D714" s="40"/>
      <c r="E714" s="40"/>
      <c r="F714" s="40"/>
      <c r="G714" s="40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4.25" customHeight="1">
      <c r="A715" s="41"/>
      <c r="B715" s="40"/>
      <c r="C715" s="40"/>
      <c r="D715" s="40"/>
      <c r="E715" s="40"/>
      <c r="F715" s="40"/>
      <c r="G715" s="40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4.25" customHeight="1">
      <c r="A716" s="41"/>
      <c r="B716" s="40"/>
      <c r="C716" s="40"/>
      <c r="D716" s="40"/>
      <c r="E716" s="40"/>
      <c r="F716" s="40"/>
      <c r="G716" s="40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4.25" customHeight="1">
      <c r="A717" s="41"/>
      <c r="B717" s="40"/>
      <c r="C717" s="40"/>
      <c r="D717" s="40"/>
      <c r="E717" s="40"/>
      <c r="F717" s="40"/>
      <c r="G717" s="40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4.25" customHeight="1">
      <c r="A718" s="41"/>
      <c r="B718" s="40"/>
      <c r="C718" s="40"/>
      <c r="D718" s="40"/>
      <c r="E718" s="40"/>
      <c r="F718" s="40"/>
      <c r="G718" s="40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4.25" customHeight="1">
      <c r="A719" s="41"/>
      <c r="B719" s="40"/>
      <c r="C719" s="40"/>
      <c r="D719" s="40"/>
      <c r="E719" s="40"/>
      <c r="F719" s="40"/>
      <c r="G719" s="40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4.25" customHeight="1">
      <c r="A720" s="41"/>
      <c r="B720" s="40"/>
      <c r="C720" s="40"/>
      <c r="D720" s="40"/>
      <c r="E720" s="40"/>
      <c r="F720" s="40"/>
      <c r="G720" s="40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4.25" customHeight="1">
      <c r="A721" s="41"/>
      <c r="B721" s="40"/>
      <c r="C721" s="40"/>
      <c r="D721" s="40"/>
      <c r="E721" s="40"/>
      <c r="F721" s="40"/>
      <c r="G721" s="40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4.25" customHeight="1">
      <c r="A722" s="41"/>
      <c r="B722" s="40"/>
      <c r="C722" s="40"/>
      <c r="D722" s="40"/>
      <c r="E722" s="40"/>
      <c r="F722" s="40"/>
      <c r="G722" s="40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4.25" customHeight="1">
      <c r="A723" s="41"/>
      <c r="B723" s="40"/>
      <c r="C723" s="40"/>
      <c r="D723" s="40"/>
      <c r="E723" s="40"/>
      <c r="F723" s="40"/>
      <c r="G723" s="40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4.25" customHeight="1">
      <c r="A724" s="41"/>
      <c r="B724" s="40"/>
      <c r="C724" s="40"/>
      <c r="D724" s="40"/>
      <c r="E724" s="40"/>
      <c r="F724" s="40"/>
      <c r="G724" s="40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4.25" customHeight="1">
      <c r="A725" s="41"/>
      <c r="B725" s="40"/>
      <c r="C725" s="40"/>
      <c r="D725" s="40"/>
      <c r="E725" s="40"/>
      <c r="F725" s="40"/>
      <c r="G725" s="40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4.25" customHeight="1">
      <c r="A726" s="41"/>
      <c r="B726" s="40"/>
      <c r="C726" s="40"/>
      <c r="D726" s="40"/>
      <c r="E726" s="40"/>
      <c r="F726" s="40"/>
      <c r="G726" s="40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4.25" customHeight="1">
      <c r="A727" s="41"/>
      <c r="B727" s="40"/>
      <c r="C727" s="40"/>
      <c r="D727" s="40"/>
      <c r="E727" s="40"/>
      <c r="F727" s="40"/>
      <c r="G727" s="40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4.25" customHeight="1">
      <c r="A728" s="41"/>
      <c r="B728" s="40"/>
      <c r="C728" s="40"/>
      <c r="D728" s="40"/>
      <c r="E728" s="40"/>
      <c r="F728" s="40"/>
      <c r="G728" s="40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4.25" customHeight="1">
      <c r="A729" s="41"/>
      <c r="B729" s="40"/>
      <c r="C729" s="40"/>
      <c r="D729" s="40"/>
      <c r="E729" s="40"/>
      <c r="F729" s="40"/>
      <c r="G729" s="40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4.25" customHeight="1">
      <c r="A730" s="41"/>
      <c r="B730" s="40"/>
      <c r="C730" s="40"/>
      <c r="D730" s="40"/>
      <c r="E730" s="40"/>
      <c r="F730" s="40"/>
      <c r="G730" s="40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4.25" customHeight="1">
      <c r="A731" s="41"/>
      <c r="B731" s="40"/>
      <c r="C731" s="40"/>
      <c r="D731" s="40"/>
      <c r="E731" s="40"/>
      <c r="F731" s="40"/>
      <c r="G731" s="40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4.25" customHeight="1">
      <c r="A732" s="41"/>
      <c r="B732" s="40"/>
      <c r="C732" s="40"/>
      <c r="D732" s="40"/>
      <c r="E732" s="40"/>
      <c r="F732" s="40"/>
      <c r="G732" s="40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4.25" customHeight="1">
      <c r="A733" s="41"/>
      <c r="B733" s="40"/>
      <c r="C733" s="40"/>
      <c r="D733" s="40"/>
      <c r="E733" s="40"/>
      <c r="F733" s="40"/>
      <c r="G733" s="40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4.25" customHeight="1">
      <c r="A734" s="41"/>
      <c r="B734" s="40"/>
      <c r="C734" s="40"/>
      <c r="D734" s="40"/>
      <c r="E734" s="40"/>
      <c r="F734" s="40"/>
      <c r="G734" s="40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4.25" customHeight="1">
      <c r="A735" s="41"/>
      <c r="B735" s="40"/>
      <c r="C735" s="40"/>
      <c r="D735" s="40"/>
      <c r="E735" s="40"/>
      <c r="F735" s="40"/>
      <c r="G735" s="40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4.25" customHeight="1">
      <c r="A736" s="41"/>
      <c r="B736" s="40"/>
      <c r="C736" s="40"/>
      <c r="D736" s="40"/>
      <c r="E736" s="40"/>
      <c r="F736" s="40"/>
      <c r="G736" s="40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4.25" customHeight="1">
      <c r="A737" s="41"/>
      <c r="B737" s="40"/>
      <c r="C737" s="40"/>
      <c r="D737" s="40"/>
      <c r="E737" s="40"/>
      <c r="F737" s="40"/>
      <c r="G737" s="40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4.25" customHeight="1">
      <c r="A738" s="41"/>
      <c r="B738" s="40"/>
      <c r="C738" s="40"/>
      <c r="D738" s="40"/>
      <c r="E738" s="40"/>
      <c r="F738" s="40"/>
      <c r="G738" s="40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4.25" customHeight="1">
      <c r="A739" s="41"/>
      <c r="B739" s="40"/>
      <c r="C739" s="40"/>
      <c r="D739" s="40"/>
      <c r="E739" s="40"/>
      <c r="F739" s="40"/>
      <c r="G739" s="40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4.25" customHeight="1">
      <c r="A740" s="41"/>
      <c r="B740" s="40"/>
      <c r="C740" s="40"/>
      <c r="D740" s="40"/>
      <c r="E740" s="40"/>
      <c r="F740" s="40"/>
      <c r="G740" s="40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4.25" customHeight="1">
      <c r="A741" s="41"/>
      <c r="B741" s="40"/>
      <c r="C741" s="40"/>
      <c r="D741" s="40"/>
      <c r="E741" s="40"/>
      <c r="F741" s="40"/>
      <c r="G741" s="40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4.25" customHeight="1">
      <c r="A742" s="41"/>
      <c r="B742" s="40"/>
      <c r="C742" s="40"/>
      <c r="D742" s="40"/>
      <c r="E742" s="40"/>
      <c r="F742" s="40"/>
      <c r="G742" s="40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4.25" customHeight="1">
      <c r="A743" s="41"/>
      <c r="B743" s="40"/>
      <c r="C743" s="40"/>
      <c r="D743" s="40"/>
      <c r="E743" s="40"/>
      <c r="F743" s="40"/>
      <c r="G743" s="40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4.25" customHeight="1">
      <c r="A744" s="41"/>
      <c r="B744" s="40"/>
      <c r="C744" s="40"/>
      <c r="D744" s="40"/>
      <c r="E744" s="40"/>
      <c r="F744" s="40"/>
      <c r="G744" s="40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4.25" customHeight="1">
      <c r="A745" s="41"/>
      <c r="B745" s="40"/>
      <c r="C745" s="40"/>
      <c r="D745" s="40"/>
      <c r="E745" s="40"/>
      <c r="F745" s="40"/>
      <c r="G745" s="40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4.25" customHeight="1">
      <c r="A746" s="41"/>
      <c r="B746" s="40"/>
      <c r="C746" s="40"/>
      <c r="D746" s="40"/>
      <c r="E746" s="40"/>
      <c r="F746" s="40"/>
      <c r="G746" s="40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4.25" customHeight="1">
      <c r="A747" s="41"/>
      <c r="B747" s="40"/>
      <c r="C747" s="40"/>
      <c r="D747" s="40"/>
      <c r="E747" s="40"/>
      <c r="F747" s="40"/>
      <c r="G747" s="40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4.25" customHeight="1">
      <c r="A748" s="41"/>
      <c r="B748" s="40"/>
      <c r="C748" s="40"/>
      <c r="D748" s="40"/>
      <c r="E748" s="40"/>
      <c r="F748" s="40"/>
      <c r="G748" s="40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4.25" customHeight="1">
      <c r="A749" s="41"/>
      <c r="B749" s="40"/>
      <c r="C749" s="40"/>
      <c r="D749" s="40"/>
      <c r="E749" s="40"/>
      <c r="F749" s="40"/>
      <c r="G749" s="40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4.25" customHeight="1">
      <c r="A750" s="41"/>
      <c r="B750" s="40"/>
      <c r="C750" s="40"/>
      <c r="D750" s="40"/>
      <c r="E750" s="40"/>
      <c r="F750" s="40"/>
      <c r="G750" s="40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4.25" customHeight="1">
      <c r="A751" s="41"/>
      <c r="B751" s="40"/>
      <c r="C751" s="40"/>
      <c r="D751" s="40"/>
      <c r="E751" s="40"/>
      <c r="F751" s="40"/>
      <c r="G751" s="40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4.25" customHeight="1">
      <c r="A752" s="41"/>
      <c r="B752" s="40"/>
      <c r="C752" s="40"/>
      <c r="D752" s="40"/>
      <c r="E752" s="40"/>
      <c r="F752" s="40"/>
      <c r="G752" s="40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4.25" customHeight="1">
      <c r="A753" s="41"/>
      <c r="B753" s="40"/>
      <c r="C753" s="40"/>
      <c r="D753" s="40"/>
      <c r="E753" s="40"/>
      <c r="F753" s="40"/>
      <c r="G753" s="40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4.25" customHeight="1">
      <c r="A754" s="41"/>
      <c r="B754" s="40"/>
      <c r="C754" s="40"/>
      <c r="D754" s="40"/>
      <c r="E754" s="40"/>
      <c r="F754" s="40"/>
      <c r="G754" s="40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4.25" customHeight="1">
      <c r="A755" s="41"/>
      <c r="B755" s="40"/>
      <c r="C755" s="40"/>
      <c r="D755" s="40"/>
      <c r="E755" s="40"/>
      <c r="F755" s="40"/>
      <c r="G755" s="40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4.25" customHeight="1">
      <c r="A756" s="41"/>
      <c r="B756" s="40"/>
      <c r="C756" s="40"/>
      <c r="D756" s="40"/>
      <c r="E756" s="40"/>
      <c r="F756" s="40"/>
      <c r="G756" s="40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4.25" customHeight="1">
      <c r="A757" s="41"/>
      <c r="B757" s="40"/>
      <c r="C757" s="40"/>
      <c r="D757" s="40"/>
      <c r="E757" s="40"/>
      <c r="F757" s="40"/>
      <c r="G757" s="40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4.25" customHeight="1">
      <c r="A758" s="41"/>
      <c r="B758" s="40"/>
      <c r="C758" s="40"/>
      <c r="D758" s="40"/>
      <c r="E758" s="40"/>
      <c r="F758" s="40"/>
      <c r="G758" s="40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4.25" customHeight="1">
      <c r="A759" s="41"/>
      <c r="B759" s="40"/>
      <c r="C759" s="40"/>
      <c r="D759" s="40"/>
      <c r="E759" s="40"/>
      <c r="F759" s="40"/>
      <c r="G759" s="40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4.25" customHeight="1">
      <c r="A760" s="41"/>
      <c r="B760" s="40"/>
      <c r="C760" s="40"/>
      <c r="D760" s="40"/>
      <c r="E760" s="40"/>
      <c r="F760" s="40"/>
      <c r="G760" s="40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4.25" customHeight="1">
      <c r="A761" s="41"/>
      <c r="B761" s="40"/>
      <c r="C761" s="40"/>
      <c r="D761" s="40"/>
      <c r="E761" s="40"/>
      <c r="F761" s="40"/>
      <c r="G761" s="40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4.25" customHeight="1">
      <c r="A762" s="41"/>
      <c r="B762" s="40"/>
      <c r="C762" s="40"/>
      <c r="D762" s="40"/>
      <c r="E762" s="40"/>
      <c r="F762" s="40"/>
      <c r="G762" s="40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4.25" customHeight="1">
      <c r="A763" s="41"/>
      <c r="B763" s="40"/>
      <c r="C763" s="40"/>
      <c r="D763" s="40"/>
      <c r="E763" s="40"/>
      <c r="F763" s="40"/>
      <c r="G763" s="40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4.25" customHeight="1">
      <c r="A764" s="41"/>
      <c r="B764" s="40"/>
      <c r="C764" s="40"/>
      <c r="D764" s="40"/>
      <c r="E764" s="40"/>
      <c r="F764" s="40"/>
      <c r="G764" s="40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4.25" customHeight="1">
      <c r="A765" s="41"/>
      <c r="B765" s="40"/>
      <c r="C765" s="40"/>
      <c r="D765" s="40"/>
      <c r="E765" s="40"/>
      <c r="F765" s="40"/>
      <c r="G765" s="40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4.25" customHeight="1">
      <c r="A766" s="41"/>
      <c r="B766" s="40"/>
      <c r="C766" s="40"/>
      <c r="D766" s="40"/>
      <c r="E766" s="40"/>
      <c r="F766" s="40"/>
      <c r="G766" s="40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4.25" customHeight="1">
      <c r="A767" s="41"/>
      <c r="B767" s="40"/>
      <c r="C767" s="40"/>
      <c r="D767" s="40"/>
      <c r="E767" s="40"/>
      <c r="F767" s="40"/>
      <c r="G767" s="40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4.25" customHeight="1">
      <c r="A768" s="41"/>
      <c r="B768" s="40"/>
      <c r="C768" s="40"/>
      <c r="D768" s="40"/>
      <c r="E768" s="40"/>
      <c r="F768" s="40"/>
      <c r="G768" s="40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4.25" customHeight="1">
      <c r="A769" s="41"/>
      <c r="B769" s="40"/>
      <c r="C769" s="40"/>
      <c r="D769" s="40"/>
      <c r="E769" s="40"/>
      <c r="F769" s="40"/>
      <c r="G769" s="40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4.25" customHeight="1">
      <c r="A770" s="41"/>
      <c r="B770" s="40"/>
      <c r="C770" s="40"/>
      <c r="D770" s="40"/>
      <c r="E770" s="40"/>
      <c r="F770" s="40"/>
      <c r="G770" s="40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4.25" customHeight="1">
      <c r="A771" s="41"/>
      <c r="B771" s="40"/>
      <c r="C771" s="40"/>
      <c r="D771" s="40"/>
      <c r="E771" s="40"/>
      <c r="F771" s="40"/>
      <c r="G771" s="40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4.25" customHeight="1">
      <c r="A772" s="41"/>
      <c r="B772" s="40"/>
      <c r="C772" s="40"/>
      <c r="D772" s="40"/>
      <c r="E772" s="40"/>
      <c r="F772" s="40"/>
      <c r="G772" s="40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4.25" customHeight="1">
      <c r="A773" s="41"/>
      <c r="B773" s="40"/>
      <c r="C773" s="40"/>
      <c r="D773" s="40"/>
      <c r="E773" s="40"/>
      <c r="F773" s="40"/>
      <c r="G773" s="40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4.25" customHeight="1">
      <c r="A774" s="41"/>
      <c r="B774" s="40"/>
      <c r="C774" s="40"/>
      <c r="D774" s="40"/>
      <c r="E774" s="40"/>
      <c r="F774" s="40"/>
      <c r="G774" s="40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4.25" customHeight="1">
      <c r="A775" s="41"/>
      <c r="B775" s="40"/>
      <c r="C775" s="40"/>
      <c r="D775" s="40"/>
      <c r="E775" s="40"/>
      <c r="F775" s="40"/>
      <c r="G775" s="40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4.25" customHeight="1">
      <c r="A776" s="41"/>
      <c r="B776" s="40"/>
      <c r="C776" s="40"/>
      <c r="D776" s="40"/>
      <c r="E776" s="40"/>
      <c r="F776" s="40"/>
      <c r="G776" s="40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4.25" customHeight="1">
      <c r="A777" s="41"/>
      <c r="B777" s="40"/>
      <c r="C777" s="40"/>
      <c r="D777" s="40"/>
      <c r="E777" s="40"/>
      <c r="F777" s="40"/>
      <c r="G777" s="40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4.25" customHeight="1">
      <c r="A778" s="41"/>
      <c r="B778" s="40"/>
      <c r="C778" s="40"/>
      <c r="D778" s="40"/>
      <c r="E778" s="40"/>
      <c r="F778" s="40"/>
      <c r="G778" s="40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4.25" customHeight="1">
      <c r="A779" s="41"/>
      <c r="B779" s="40"/>
      <c r="C779" s="40"/>
      <c r="D779" s="40"/>
      <c r="E779" s="40"/>
      <c r="F779" s="40"/>
      <c r="G779" s="40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4.25" customHeight="1">
      <c r="A780" s="41"/>
      <c r="B780" s="40"/>
      <c r="C780" s="40"/>
      <c r="D780" s="40"/>
      <c r="E780" s="40"/>
      <c r="F780" s="40"/>
      <c r="G780" s="40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4.25" customHeight="1">
      <c r="A781" s="41"/>
      <c r="B781" s="40"/>
      <c r="C781" s="40"/>
      <c r="D781" s="40"/>
      <c r="E781" s="40"/>
      <c r="F781" s="40"/>
      <c r="G781" s="40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4.25" customHeight="1">
      <c r="A782" s="41"/>
      <c r="B782" s="40"/>
      <c r="C782" s="40"/>
      <c r="D782" s="40"/>
      <c r="E782" s="40"/>
      <c r="F782" s="40"/>
      <c r="G782" s="40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4.25" customHeight="1">
      <c r="A783" s="41"/>
      <c r="B783" s="40"/>
      <c r="C783" s="40"/>
      <c r="D783" s="40"/>
      <c r="E783" s="40"/>
      <c r="F783" s="40"/>
      <c r="G783" s="40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4.25" customHeight="1">
      <c r="A784" s="41"/>
      <c r="B784" s="40"/>
      <c r="C784" s="40"/>
      <c r="D784" s="40"/>
      <c r="E784" s="40"/>
      <c r="F784" s="40"/>
      <c r="G784" s="40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4.25" customHeight="1">
      <c r="A785" s="41"/>
      <c r="B785" s="40"/>
      <c r="C785" s="40"/>
      <c r="D785" s="40"/>
      <c r="E785" s="40"/>
      <c r="F785" s="40"/>
      <c r="G785" s="40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4.25" customHeight="1">
      <c r="A786" s="41"/>
      <c r="B786" s="40"/>
      <c r="C786" s="40"/>
      <c r="D786" s="40"/>
      <c r="E786" s="40"/>
      <c r="F786" s="40"/>
      <c r="G786" s="40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4.25" customHeight="1">
      <c r="A787" s="41"/>
      <c r="B787" s="40"/>
      <c r="C787" s="40"/>
      <c r="D787" s="40"/>
      <c r="E787" s="40"/>
      <c r="F787" s="40"/>
      <c r="G787" s="40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4.25" customHeight="1">
      <c r="A788" s="41"/>
      <c r="B788" s="40"/>
      <c r="C788" s="40"/>
      <c r="D788" s="40"/>
      <c r="E788" s="40"/>
      <c r="F788" s="40"/>
      <c r="G788" s="40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4.25" customHeight="1">
      <c r="A789" s="41"/>
      <c r="B789" s="40"/>
      <c r="C789" s="40"/>
      <c r="D789" s="40"/>
      <c r="E789" s="40"/>
      <c r="F789" s="40"/>
      <c r="G789" s="40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4.25" customHeight="1">
      <c r="A790" s="41"/>
      <c r="B790" s="40"/>
      <c r="C790" s="40"/>
      <c r="D790" s="40"/>
      <c r="E790" s="40"/>
      <c r="F790" s="40"/>
      <c r="G790" s="40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4.25" customHeight="1">
      <c r="A791" s="41"/>
      <c r="B791" s="40"/>
      <c r="C791" s="40"/>
      <c r="D791" s="40"/>
      <c r="E791" s="40"/>
      <c r="F791" s="40"/>
      <c r="G791" s="40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4.25" customHeight="1">
      <c r="A792" s="41"/>
      <c r="B792" s="40"/>
      <c r="C792" s="40"/>
      <c r="D792" s="40"/>
      <c r="E792" s="40"/>
      <c r="F792" s="40"/>
      <c r="G792" s="40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4.25" customHeight="1">
      <c r="A793" s="41"/>
      <c r="B793" s="40"/>
      <c r="C793" s="40"/>
      <c r="D793" s="40"/>
      <c r="E793" s="40"/>
      <c r="F793" s="40"/>
      <c r="G793" s="40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4.25" customHeight="1">
      <c r="A794" s="41"/>
      <c r="B794" s="40"/>
      <c r="C794" s="40"/>
      <c r="D794" s="40"/>
      <c r="E794" s="40"/>
      <c r="F794" s="40"/>
      <c r="G794" s="40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4.25" customHeight="1">
      <c r="A795" s="41"/>
      <c r="B795" s="40"/>
      <c r="C795" s="40"/>
      <c r="D795" s="40"/>
      <c r="E795" s="40"/>
      <c r="F795" s="40"/>
      <c r="G795" s="40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4.25" customHeight="1">
      <c r="A796" s="41"/>
      <c r="B796" s="40"/>
      <c r="C796" s="40"/>
      <c r="D796" s="40"/>
      <c r="E796" s="40"/>
      <c r="F796" s="40"/>
      <c r="G796" s="40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4.25" customHeight="1">
      <c r="A797" s="41"/>
      <c r="B797" s="40"/>
      <c r="C797" s="40"/>
      <c r="D797" s="40"/>
      <c r="E797" s="40"/>
      <c r="F797" s="40"/>
      <c r="G797" s="40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4.25" customHeight="1">
      <c r="A798" s="41"/>
      <c r="B798" s="40"/>
      <c r="C798" s="40"/>
      <c r="D798" s="40"/>
      <c r="E798" s="40"/>
      <c r="F798" s="40"/>
      <c r="G798" s="40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4.25" customHeight="1">
      <c r="A799" s="41"/>
      <c r="B799" s="40"/>
      <c r="C799" s="40"/>
      <c r="D799" s="40"/>
      <c r="E799" s="40"/>
      <c r="F799" s="40"/>
      <c r="G799" s="40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4.25" customHeight="1">
      <c r="A800" s="41"/>
      <c r="B800" s="40"/>
      <c r="C800" s="40"/>
      <c r="D800" s="40"/>
      <c r="E800" s="40"/>
      <c r="F800" s="40"/>
      <c r="G800" s="40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4.25" customHeight="1">
      <c r="A801" s="41"/>
      <c r="B801" s="40"/>
      <c r="C801" s="40"/>
      <c r="D801" s="40"/>
      <c r="E801" s="40"/>
      <c r="F801" s="40"/>
      <c r="G801" s="40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4.25" customHeight="1">
      <c r="A802" s="41"/>
      <c r="B802" s="40"/>
      <c r="C802" s="40"/>
      <c r="D802" s="40"/>
      <c r="E802" s="40"/>
      <c r="F802" s="40"/>
      <c r="G802" s="40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4.25" customHeight="1">
      <c r="A803" s="41"/>
      <c r="B803" s="40"/>
      <c r="C803" s="40"/>
      <c r="D803" s="40"/>
      <c r="E803" s="40"/>
      <c r="F803" s="40"/>
      <c r="G803" s="40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4.25" customHeight="1">
      <c r="A804" s="41"/>
      <c r="B804" s="40"/>
      <c r="C804" s="40"/>
      <c r="D804" s="40"/>
      <c r="E804" s="40"/>
      <c r="F804" s="40"/>
      <c r="G804" s="40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4.25" customHeight="1">
      <c r="A805" s="41"/>
      <c r="B805" s="40"/>
      <c r="C805" s="40"/>
      <c r="D805" s="40"/>
      <c r="E805" s="40"/>
      <c r="F805" s="40"/>
      <c r="G805" s="40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4.25" customHeight="1">
      <c r="A806" s="41"/>
      <c r="B806" s="40"/>
      <c r="C806" s="40"/>
      <c r="D806" s="40"/>
      <c r="E806" s="40"/>
      <c r="F806" s="40"/>
      <c r="G806" s="40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4.25" customHeight="1">
      <c r="A807" s="41"/>
      <c r="B807" s="40"/>
      <c r="C807" s="40"/>
      <c r="D807" s="40"/>
      <c r="E807" s="40"/>
      <c r="F807" s="40"/>
      <c r="G807" s="40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4.25" customHeight="1">
      <c r="A808" s="41"/>
      <c r="B808" s="40"/>
      <c r="C808" s="40"/>
      <c r="D808" s="40"/>
      <c r="E808" s="40"/>
      <c r="F808" s="40"/>
      <c r="G808" s="40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4.25" customHeight="1">
      <c r="A809" s="41"/>
      <c r="B809" s="40"/>
      <c r="C809" s="40"/>
      <c r="D809" s="40"/>
      <c r="E809" s="40"/>
      <c r="F809" s="40"/>
      <c r="G809" s="40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4.25" customHeight="1">
      <c r="A810" s="41"/>
      <c r="B810" s="40"/>
      <c r="C810" s="40"/>
      <c r="D810" s="40"/>
      <c r="E810" s="40"/>
      <c r="F810" s="40"/>
      <c r="G810" s="40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4.25" customHeight="1">
      <c r="A811" s="41"/>
      <c r="B811" s="40"/>
      <c r="C811" s="40"/>
      <c r="D811" s="40"/>
      <c r="E811" s="40"/>
      <c r="F811" s="40"/>
      <c r="G811" s="40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4.25" customHeight="1">
      <c r="A812" s="41"/>
      <c r="B812" s="40"/>
      <c r="C812" s="40"/>
      <c r="D812" s="40"/>
      <c r="E812" s="40"/>
      <c r="F812" s="40"/>
      <c r="G812" s="40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4.25" customHeight="1">
      <c r="A813" s="41"/>
      <c r="B813" s="40"/>
      <c r="C813" s="40"/>
      <c r="D813" s="40"/>
      <c r="E813" s="40"/>
      <c r="F813" s="40"/>
      <c r="G813" s="40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4.25" customHeight="1">
      <c r="A814" s="41"/>
      <c r="B814" s="40"/>
      <c r="C814" s="40"/>
      <c r="D814" s="40"/>
      <c r="E814" s="40"/>
      <c r="F814" s="40"/>
      <c r="G814" s="40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4.25" customHeight="1">
      <c r="A815" s="41"/>
      <c r="B815" s="40"/>
      <c r="C815" s="40"/>
      <c r="D815" s="40"/>
      <c r="E815" s="40"/>
      <c r="F815" s="40"/>
      <c r="G815" s="40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4.25" customHeight="1">
      <c r="A816" s="41"/>
      <c r="B816" s="40"/>
      <c r="C816" s="40"/>
      <c r="D816" s="40"/>
      <c r="E816" s="40"/>
      <c r="F816" s="40"/>
      <c r="G816" s="40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4.25" customHeight="1">
      <c r="A817" s="41"/>
      <c r="B817" s="40"/>
      <c r="C817" s="40"/>
      <c r="D817" s="40"/>
      <c r="E817" s="40"/>
      <c r="F817" s="40"/>
      <c r="G817" s="40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4.25" customHeight="1">
      <c r="A818" s="41"/>
      <c r="B818" s="40"/>
      <c r="C818" s="40"/>
      <c r="D818" s="40"/>
      <c r="E818" s="40"/>
      <c r="F818" s="40"/>
      <c r="G818" s="40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4.25" customHeight="1">
      <c r="A819" s="41"/>
      <c r="B819" s="40"/>
      <c r="C819" s="40"/>
      <c r="D819" s="40"/>
      <c r="E819" s="40"/>
      <c r="F819" s="40"/>
      <c r="G819" s="40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4.25" customHeight="1">
      <c r="A820" s="41"/>
      <c r="B820" s="40"/>
      <c r="C820" s="40"/>
      <c r="D820" s="40"/>
      <c r="E820" s="40"/>
      <c r="F820" s="40"/>
      <c r="G820" s="40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4.25" customHeight="1">
      <c r="A821" s="41"/>
      <c r="B821" s="40"/>
      <c r="C821" s="40"/>
      <c r="D821" s="40"/>
      <c r="E821" s="40"/>
      <c r="F821" s="40"/>
      <c r="G821" s="40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4.25" customHeight="1">
      <c r="A822" s="41"/>
      <c r="B822" s="40"/>
      <c r="C822" s="40"/>
      <c r="D822" s="40"/>
      <c r="E822" s="40"/>
      <c r="F822" s="40"/>
      <c r="G822" s="40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4.25" customHeight="1">
      <c r="A823" s="41"/>
      <c r="B823" s="40"/>
      <c r="C823" s="40"/>
      <c r="D823" s="40"/>
      <c r="E823" s="40"/>
      <c r="F823" s="40"/>
      <c r="G823" s="40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4.25" customHeight="1">
      <c r="A824" s="41"/>
      <c r="B824" s="40"/>
      <c r="C824" s="40"/>
      <c r="D824" s="40"/>
      <c r="E824" s="40"/>
      <c r="F824" s="40"/>
      <c r="G824" s="40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4.25" customHeight="1">
      <c r="A825" s="41"/>
      <c r="B825" s="40"/>
      <c r="C825" s="40"/>
      <c r="D825" s="40"/>
      <c r="E825" s="40"/>
      <c r="F825" s="40"/>
      <c r="G825" s="40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4.25" customHeight="1">
      <c r="A826" s="41"/>
      <c r="B826" s="40"/>
      <c r="C826" s="40"/>
      <c r="D826" s="40"/>
      <c r="E826" s="40"/>
      <c r="F826" s="40"/>
      <c r="G826" s="40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4.25" customHeight="1">
      <c r="A827" s="41"/>
      <c r="B827" s="40"/>
      <c r="C827" s="40"/>
      <c r="D827" s="40"/>
      <c r="E827" s="40"/>
      <c r="F827" s="40"/>
      <c r="G827" s="40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4.25" customHeight="1">
      <c r="A828" s="41"/>
      <c r="B828" s="40"/>
      <c r="C828" s="40"/>
      <c r="D828" s="40"/>
      <c r="E828" s="40"/>
      <c r="F828" s="40"/>
      <c r="G828" s="40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4.25" customHeight="1">
      <c r="A829" s="41"/>
      <c r="B829" s="40"/>
      <c r="C829" s="40"/>
      <c r="D829" s="40"/>
      <c r="E829" s="40"/>
      <c r="F829" s="40"/>
      <c r="G829" s="40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4.25" customHeight="1">
      <c r="A830" s="41"/>
      <c r="B830" s="40"/>
      <c r="C830" s="40"/>
      <c r="D830" s="40"/>
      <c r="E830" s="40"/>
      <c r="F830" s="40"/>
      <c r="G830" s="40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4.25" customHeight="1">
      <c r="A831" s="41"/>
      <c r="B831" s="40"/>
      <c r="C831" s="40"/>
      <c r="D831" s="40"/>
      <c r="E831" s="40"/>
      <c r="F831" s="40"/>
      <c r="G831" s="40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4.25" customHeight="1">
      <c r="A832" s="41"/>
      <c r="B832" s="40"/>
      <c r="C832" s="40"/>
      <c r="D832" s="40"/>
      <c r="E832" s="40"/>
      <c r="F832" s="40"/>
      <c r="G832" s="40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4.25" customHeight="1">
      <c r="A833" s="41"/>
      <c r="B833" s="40"/>
      <c r="C833" s="40"/>
      <c r="D833" s="40"/>
      <c r="E833" s="40"/>
      <c r="F833" s="40"/>
      <c r="G833" s="40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4.25" customHeight="1">
      <c r="A834" s="41"/>
      <c r="B834" s="40"/>
      <c r="C834" s="40"/>
      <c r="D834" s="40"/>
      <c r="E834" s="40"/>
      <c r="F834" s="40"/>
      <c r="G834" s="40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4.25" customHeight="1">
      <c r="A835" s="41"/>
      <c r="B835" s="40"/>
      <c r="C835" s="40"/>
      <c r="D835" s="40"/>
      <c r="E835" s="40"/>
      <c r="F835" s="40"/>
      <c r="G835" s="40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4.25" customHeight="1">
      <c r="A836" s="41"/>
      <c r="B836" s="40"/>
      <c r="C836" s="40"/>
      <c r="D836" s="40"/>
      <c r="E836" s="40"/>
      <c r="F836" s="40"/>
      <c r="G836" s="40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4.25" customHeight="1">
      <c r="A837" s="41"/>
      <c r="B837" s="40"/>
      <c r="C837" s="40"/>
      <c r="D837" s="40"/>
      <c r="E837" s="40"/>
      <c r="F837" s="40"/>
      <c r="G837" s="40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4.25" customHeight="1">
      <c r="A838" s="41"/>
      <c r="B838" s="40"/>
      <c r="C838" s="40"/>
      <c r="D838" s="40"/>
      <c r="E838" s="40"/>
      <c r="F838" s="40"/>
      <c r="G838" s="40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4.25" customHeight="1">
      <c r="A839" s="41"/>
      <c r="B839" s="40"/>
      <c r="C839" s="40"/>
      <c r="D839" s="40"/>
      <c r="E839" s="40"/>
      <c r="F839" s="40"/>
      <c r="G839" s="40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4.25" customHeight="1">
      <c r="A840" s="41"/>
      <c r="B840" s="40"/>
      <c r="C840" s="40"/>
      <c r="D840" s="40"/>
      <c r="E840" s="40"/>
      <c r="F840" s="40"/>
      <c r="G840" s="40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4.25" customHeight="1">
      <c r="A841" s="41"/>
      <c r="B841" s="40"/>
      <c r="C841" s="40"/>
      <c r="D841" s="40"/>
      <c r="E841" s="40"/>
      <c r="F841" s="40"/>
      <c r="G841" s="40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4.25" customHeight="1">
      <c r="A842" s="41"/>
      <c r="B842" s="40"/>
      <c r="C842" s="40"/>
      <c r="D842" s="40"/>
      <c r="E842" s="40"/>
      <c r="F842" s="40"/>
      <c r="G842" s="40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4.25" customHeight="1">
      <c r="A843" s="41"/>
      <c r="B843" s="40"/>
      <c r="C843" s="40"/>
      <c r="D843" s="40"/>
      <c r="E843" s="40"/>
      <c r="F843" s="40"/>
      <c r="G843" s="40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4.25" customHeight="1">
      <c r="A844" s="41"/>
      <c r="B844" s="40"/>
      <c r="C844" s="40"/>
      <c r="D844" s="40"/>
      <c r="E844" s="40"/>
      <c r="F844" s="40"/>
      <c r="G844" s="40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4.25" customHeight="1">
      <c r="A845" s="41"/>
      <c r="B845" s="40"/>
      <c r="C845" s="40"/>
      <c r="D845" s="40"/>
      <c r="E845" s="40"/>
      <c r="F845" s="40"/>
      <c r="G845" s="40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4.25" customHeight="1">
      <c r="A846" s="41"/>
      <c r="B846" s="40"/>
      <c r="C846" s="40"/>
      <c r="D846" s="40"/>
      <c r="E846" s="40"/>
      <c r="F846" s="40"/>
      <c r="G846" s="40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4.25" customHeight="1">
      <c r="A847" s="41"/>
      <c r="B847" s="40"/>
      <c r="C847" s="40"/>
      <c r="D847" s="40"/>
      <c r="E847" s="40"/>
      <c r="F847" s="40"/>
      <c r="G847" s="40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4.25" customHeight="1">
      <c r="A848" s="41"/>
      <c r="B848" s="40"/>
      <c r="C848" s="40"/>
      <c r="D848" s="40"/>
      <c r="E848" s="40"/>
      <c r="F848" s="40"/>
      <c r="G848" s="40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4.25" customHeight="1">
      <c r="A849" s="41"/>
      <c r="B849" s="40"/>
      <c r="C849" s="40"/>
      <c r="D849" s="40"/>
      <c r="E849" s="40"/>
      <c r="F849" s="40"/>
      <c r="G849" s="40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4.25" customHeight="1">
      <c r="A850" s="41"/>
      <c r="B850" s="40"/>
      <c r="C850" s="40"/>
      <c r="D850" s="40"/>
      <c r="E850" s="40"/>
      <c r="F850" s="40"/>
      <c r="G850" s="40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4.25" customHeight="1">
      <c r="A851" s="41"/>
      <c r="B851" s="40"/>
      <c r="C851" s="40"/>
      <c r="D851" s="40"/>
      <c r="E851" s="40"/>
      <c r="F851" s="40"/>
      <c r="G851" s="40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4.25" customHeight="1">
      <c r="A852" s="41"/>
      <c r="B852" s="40"/>
      <c r="C852" s="40"/>
      <c r="D852" s="40"/>
      <c r="E852" s="40"/>
      <c r="F852" s="40"/>
      <c r="G852" s="40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4.25" customHeight="1">
      <c r="A853" s="41"/>
      <c r="B853" s="40"/>
      <c r="C853" s="40"/>
      <c r="D853" s="40"/>
      <c r="E853" s="40"/>
      <c r="F853" s="40"/>
      <c r="G853" s="40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4.25" customHeight="1">
      <c r="A854" s="41"/>
      <c r="B854" s="40"/>
      <c r="C854" s="40"/>
      <c r="D854" s="40"/>
      <c r="E854" s="40"/>
      <c r="F854" s="40"/>
      <c r="G854" s="40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4.25" customHeight="1">
      <c r="A855" s="41"/>
      <c r="B855" s="40"/>
      <c r="C855" s="40"/>
      <c r="D855" s="40"/>
      <c r="E855" s="40"/>
      <c r="F855" s="40"/>
      <c r="G855" s="40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4.25" customHeight="1">
      <c r="A856" s="41"/>
      <c r="B856" s="40"/>
      <c r="C856" s="40"/>
      <c r="D856" s="40"/>
      <c r="E856" s="40"/>
      <c r="F856" s="40"/>
      <c r="G856" s="40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4.25" customHeight="1">
      <c r="A857" s="41"/>
      <c r="B857" s="40"/>
      <c r="C857" s="40"/>
      <c r="D857" s="40"/>
      <c r="E857" s="40"/>
      <c r="F857" s="40"/>
      <c r="G857" s="40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4.25" customHeight="1">
      <c r="A858" s="41"/>
      <c r="B858" s="40"/>
      <c r="C858" s="40"/>
      <c r="D858" s="40"/>
      <c r="E858" s="40"/>
      <c r="F858" s="40"/>
      <c r="G858" s="40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4.25" customHeight="1">
      <c r="A859" s="41"/>
      <c r="B859" s="40"/>
      <c r="C859" s="40"/>
      <c r="D859" s="40"/>
      <c r="E859" s="40"/>
      <c r="F859" s="40"/>
      <c r="G859" s="40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4.25" customHeight="1">
      <c r="A860" s="41"/>
      <c r="B860" s="40"/>
      <c r="C860" s="40"/>
      <c r="D860" s="40"/>
      <c r="E860" s="40"/>
      <c r="F860" s="40"/>
      <c r="G860" s="40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4.25" customHeight="1">
      <c r="A861" s="41"/>
      <c r="B861" s="40"/>
      <c r="C861" s="40"/>
      <c r="D861" s="40"/>
      <c r="E861" s="40"/>
      <c r="F861" s="40"/>
      <c r="G861" s="40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4.25" customHeight="1">
      <c r="A862" s="41"/>
      <c r="B862" s="40"/>
      <c r="C862" s="40"/>
      <c r="D862" s="40"/>
      <c r="E862" s="40"/>
      <c r="F862" s="40"/>
      <c r="G862" s="40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4.25" customHeight="1">
      <c r="A863" s="41"/>
      <c r="B863" s="40"/>
      <c r="C863" s="40"/>
      <c r="D863" s="40"/>
      <c r="E863" s="40"/>
      <c r="F863" s="40"/>
      <c r="G863" s="40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4.25" customHeight="1">
      <c r="A864" s="41"/>
      <c r="B864" s="40"/>
      <c r="C864" s="40"/>
      <c r="D864" s="40"/>
      <c r="E864" s="40"/>
      <c r="F864" s="40"/>
      <c r="G864" s="40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4.25" customHeight="1">
      <c r="A865" s="41"/>
      <c r="B865" s="40"/>
      <c r="C865" s="40"/>
      <c r="D865" s="40"/>
      <c r="E865" s="40"/>
      <c r="F865" s="40"/>
      <c r="G865" s="40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4.25" customHeight="1">
      <c r="A866" s="41"/>
      <c r="B866" s="40"/>
      <c r="C866" s="40"/>
      <c r="D866" s="40"/>
      <c r="E866" s="40"/>
      <c r="F866" s="40"/>
      <c r="G866" s="40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4.25" customHeight="1">
      <c r="A867" s="41"/>
      <c r="B867" s="40"/>
      <c r="C867" s="40"/>
      <c r="D867" s="40"/>
      <c r="E867" s="40"/>
      <c r="F867" s="40"/>
      <c r="G867" s="40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4.25" customHeight="1">
      <c r="A868" s="41"/>
      <c r="B868" s="40"/>
      <c r="C868" s="40"/>
      <c r="D868" s="40"/>
      <c r="E868" s="40"/>
      <c r="F868" s="40"/>
      <c r="G868" s="40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4.25" customHeight="1">
      <c r="A869" s="41"/>
      <c r="B869" s="40"/>
      <c r="C869" s="40"/>
      <c r="D869" s="40"/>
      <c r="E869" s="40"/>
      <c r="F869" s="40"/>
      <c r="G869" s="40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4.25" customHeight="1">
      <c r="A870" s="41"/>
      <c r="B870" s="40"/>
      <c r="C870" s="40"/>
      <c r="D870" s="40"/>
      <c r="E870" s="40"/>
      <c r="F870" s="40"/>
      <c r="G870" s="40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4.25" customHeight="1">
      <c r="A871" s="41"/>
      <c r="B871" s="40"/>
      <c r="C871" s="40"/>
      <c r="D871" s="40"/>
      <c r="E871" s="40"/>
      <c r="F871" s="40"/>
      <c r="G871" s="40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4.25" customHeight="1">
      <c r="A872" s="41"/>
      <c r="B872" s="40"/>
      <c r="C872" s="40"/>
      <c r="D872" s="40"/>
      <c r="E872" s="40"/>
      <c r="F872" s="40"/>
      <c r="G872" s="40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4.25" customHeight="1">
      <c r="A873" s="41"/>
      <c r="B873" s="40"/>
      <c r="C873" s="40"/>
      <c r="D873" s="40"/>
      <c r="E873" s="40"/>
      <c r="F873" s="40"/>
      <c r="G873" s="40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4.25" customHeight="1">
      <c r="A874" s="41"/>
      <c r="B874" s="40"/>
      <c r="C874" s="40"/>
      <c r="D874" s="40"/>
      <c r="E874" s="40"/>
      <c r="F874" s="40"/>
      <c r="G874" s="40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4.25" customHeight="1">
      <c r="A875" s="41"/>
      <c r="B875" s="40"/>
      <c r="C875" s="40"/>
      <c r="D875" s="40"/>
      <c r="E875" s="40"/>
      <c r="F875" s="40"/>
      <c r="G875" s="40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4.25" customHeight="1">
      <c r="A876" s="41"/>
      <c r="B876" s="40"/>
      <c r="C876" s="40"/>
      <c r="D876" s="40"/>
      <c r="E876" s="40"/>
      <c r="F876" s="40"/>
      <c r="G876" s="40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4.25" customHeight="1">
      <c r="A877" s="41"/>
      <c r="B877" s="40"/>
      <c r="C877" s="40"/>
      <c r="D877" s="40"/>
      <c r="E877" s="40"/>
      <c r="F877" s="40"/>
      <c r="G877" s="40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4.25" customHeight="1">
      <c r="A878" s="41"/>
      <c r="B878" s="40"/>
      <c r="C878" s="40"/>
      <c r="D878" s="40"/>
      <c r="E878" s="40"/>
      <c r="F878" s="40"/>
      <c r="G878" s="40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4.25" customHeight="1">
      <c r="A879" s="41"/>
      <c r="B879" s="40"/>
      <c r="C879" s="40"/>
      <c r="D879" s="40"/>
      <c r="E879" s="40"/>
      <c r="F879" s="40"/>
      <c r="G879" s="40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4.25" customHeight="1">
      <c r="A880" s="41"/>
      <c r="B880" s="40"/>
      <c r="C880" s="40"/>
      <c r="D880" s="40"/>
      <c r="E880" s="40"/>
      <c r="F880" s="40"/>
      <c r="G880" s="40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4.25" customHeight="1">
      <c r="A881" s="41"/>
      <c r="B881" s="40"/>
      <c r="C881" s="40"/>
      <c r="D881" s="40"/>
      <c r="E881" s="40"/>
      <c r="F881" s="40"/>
      <c r="G881" s="40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4.25" customHeight="1">
      <c r="A882" s="41"/>
      <c r="B882" s="40"/>
      <c r="C882" s="40"/>
      <c r="D882" s="40"/>
      <c r="E882" s="40"/>
      <c r="F882" s="40"/>
      <c r="G882" s="40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4.25" customHeight="1">
      <c r="A883" s="41"/>
      <c r="B883" s="40"/>
      <c r="C883" s="40"/>
      <c r="D883" s="40"/>
      <c r="E883" s="40"/>
      <c r="F883" s="40"/>
      <c r="G883" s="40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4.25" customHeight="1">
      <c r="A884" s="41"/>
      <c r="B884" s="40"/>
      <c r="C884" s="40"/>
      <c r="D884" s="40"/>
      <c r="E884" s="40"/>
      <c r="F884" s="40"/>
      <c r="G884" s="40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4.25" customHeight="1">
      <c r="A885" s="41"/>
      <c r="B885" s="40"/>
      <c r="C885" s="40"/>
      <c r="D885" s="40"/>
      <c r="E885" s="40"/>
      <c r="F885" s="40"/>
      <c r="G885" s="40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4.25" customHeight="1">
      <c r="A886" s="41"/>
      <c r="B886" s="40"/>
      <c r="C886" s="40"/>
      <c r="D886" s="40"/>
      <c r="E886" s="40"/>
      <c r="F886" s="40"/>
      <c r="G886" s="40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4.25" customHeight="1">
      <c r="A887" s="41"/>
      <c r="B887" s="40"/>
      <c r="C887" s="40"/>
      <c r="D887" s="40"/>
      <c r="E887" s="40"/>
      <c r="F887" s="40"/>
      <c r="G887" s="40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4.25" customHeight="1">
      <c r="A888" s="41"/>
      <c r="B888" s="40"/>
      <c r="C888" s="40"/>
      <c r="D888" s="40"/>
      <c r="E888" s="40"/>
      <c r="F888" s="40"/>
      <c r="G888" s="40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4.25" customHeight="1">
      <c r="A889" s="41"/>
      <c r="B889" s="40"/>
      <c r="C889" s="40"/>
      <c r="D889" s="40"/>
      <c r="E889" s="40"/>
      <c r="F889" s="40"/>
      <c r="G889" s="40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4.25" customHeight="1">
      <c r="A890" s="41"/>
      <c r="B890" s="40"/>
      <c r="C890" s="40"/>
      <c r="D890" s="40"/>
      <c r="E890" s="40"/>
      <c r="F890" s="40"/>
      <c r="G890" s="40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4.25" customHeight="1">
      <c r="A891" s="41"/>
      <c r="B891" s="40"/>
      <c r="C891" s="40"/>
      <c r="D891" s="40"/>
      <c r="E891" s="40"/>
      <c r="F891" s="40"/>
      <c r="G891" s="40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4.25" customHeight="1">
      <c r="A892" s="41"/>
      <c r="B892" s="40"/>
      <c r="C892" s="40"/>
      <c r="D892" s="40"/>
      <c r="E892" s="40"/>
      <c r="F892" s="40"/>
      <c r="G892" s="40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4.25" customHeight="1">
      <c r="A893" s="41"/>
      <c r="B893" s="40"/>
      <c r="C893" s="40"/>
      <c r="D893" s="40"/>
      <c r="E893" s="40"/>
      <c r="F893" s="40"/>
      <c r="G893" s="40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4.25" customHeight="1">
      <c r="A894" s="41"/>
      <c r="B894" s="40"/>
      <c r="C894" s="40"/>
      <c r="D894" s="40"/>
      <c r="E894" s="40"/>
      <c r="F894" s="40"/>
      <c r="G894" s="40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4.25" customHeight="1">
      <c r="A895" s="41"/>
      <c r="B895" s="40"/>
      <c r="C895" s="40"/>
      <c r="D895" s="40"/>
      <c r="E895" s="40"/>
      <c r="F895" s="40"/>
      <c r="G895" s="40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4.25" customHeight="1">
      <c r="A896" s="41"/>
      <c r="B896" s="40"/>
      <c r="C896" s="40"/>
      <c r="D896" s="40"/>
      <c r="E896" s="40"/>
      <c r="F896" s="40"/>
      <c r="G896" s="40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4.25" customHeight="1">
      <c r="A897" s="41"/>
      <c r="B897" s="40"/>
      <c r="C897" s="40"/>
      <c r="D897" s="40"/>
      <c r="E897" s="40"/>
      <c r="F897" s="40"/>
      <c r="G897" s="40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4.25" customHeight="1">
      <c r="A898" s="41"/>
      <c r="B898" s="40"/>
      <c r="C898" s="40"/>
      <c r="D898" s="40"/>
      <c r="E898" s="40"/>
      <c r="F898" s="40"/>
      <c r="G898" s="40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4.25" customHeight="1">
      <c r="A899" s="41"/>
      <c r="B899" s="40"/>
      <c r="C899" s="40"/>
      <c r="D899" s="40"/>
      <c r="E899" s="40"/>
      <c r="F899" s="40"/>
      <c r="G899" s="40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4.25" customHeight="1">
      <c r="A900" s="41"/>
      <c r="B900" s="40"/>
      <c r="C900" s="40"/>
      <c r="D900" s="40"/>
      <c r="E900" s="40"/>
      <c r="F900" s="40"/>
      <c r="G900" s="40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4.25" customHeight="1">
      <c r="A901" s="41"/>
      <c r="B901" s="40"/>
      <c r="C901" s="40"/>
      <c r="D901" s="40"/>
      <c r="E901" s="40"/>
      <c r="F901" s="40"/>
      <c r="G901" s="40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4.25" customHeight="1">
      <c r="A902" s="41"/>
      <c r="B902" s="40"/>
      <c r="C902" s="40"/>
      <c r="D902" s="40"/>
      <c r="E902" s="40"/>
      <c r="F902" s="40"/>
      <c r="G902" s="40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4.25" customHeight="1">
      <c r="A903" s="41"/>
      <c r="B903" s="40"/>
      <c r="C903" s="40"/>
      <c r="D903" s="40"/>
      <c r="E903" s="40"/>
      <c r="F903" s="40"/>
      <c r="G903" s="40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4.25" customHeight="1">
      <c r="A904" s="41"/>
      <c r="B904" s="40"/>
      <c r="C904" s="40"/>
      <c r="D904" s="40"/>
      <c r="E904" s="40"/>
      <c r="F904" s="40"/>
      <c r="G904" s="40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4.25" customHeight="1">
      <c r="A905" s="41"/>
      <c r="B905" s="40"/>
      <c r="C905" s="40"/>
      <c r="D905" s="40"/>
      <c r="E905" s="40"/>
      <c r="F905" s="40"/>
      <c r="G905" s="40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4.25" customHeight="1">
      <c r="A906" s="41"/>
      <c r="B906" s="40"/>
      <c r="C906" s="40"/>
      <c r="D906" s="40"/>
      <c r="E906" s="40"/>
      <c r="F906" s="40"/>
      <c r="G906" s="40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4.25" customHeight="1">
      <c r="A907" s="41"/>
      <c r="B907" s="40"/>
      <c r="C907" s="40"/>
      <c r="D907" s="40"/>
      <c r="E907" s="40"/>
      <c r="F907" s="40"/>
      <c r="G907" s="40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4.25" customHeight="1">
      <c r="A908" s="41"/>
      <c r="B908" s="40"/>
      <c r="C908" s="40"/>
      <c r="D908" s="40"/>
      <c r="E908" s="40"/>
      <c r="F908" s="40"/>
      <c r="G908" s="40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4.25" customHeight="1">
      <c r="A909" s="41"/>
      <c r="B909" s="40"/>
      <c r="C909" s="40"/>
      <c r="D909" s="40"/>
      <c r="E909" s="40"/>
      <c r="F909" s="40"/>
      <c r="G909" s="40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4.25" customHeight="1">
      <c r="A910" s="41"/>
      <c r="B910" s="40"/>
      <c r="C910" s="40"/>
      <c r="D910" s="40"/>
      <c r="E910" s="40"/>
      <c r="F910" s="40"/>
      <c r="G910" s="40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4.25" customHeight="1">
      <c r="A911" s="41"/>
      <c r="B911" s="40"/>
      <c r="C911" s="40"/>
      <c r="D911" s="40"/>
      <c r="E911" s="40"/>
      <c r="F911" s="40"/>
      <c r="G911" s="40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4.25" customHeight="1">
      <c r="A912" s="41"/>
      <c r="B912" s="40"/>
      <c r="C912" s="40"/>
      <c r="D912" s="40"/>
      <c r="E912" s="40"/>
      <c r="F912" s="40"/>
      <c r="G912" s="40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4.25" customHeight="1">
      <c r="A913" s="41"/>
      <c r="B913" s="40"/>
      <c r="C913" s="40"/>
      <c r="D913" s="40"/>
      <c r="E913" s="40"/>
      <c r="F913" s="40"/>
      <c r="G913" s="40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4.25" customHeight="1">
      <c r="A914" s="41"/>
      <c r="B914" s="40"/>
      <c r="C914" s="40"/>
      <c r="D914" s="40"/>
      <c r="E914" s="40"/>
      <c r="F914" s="40"/>
      <c r="G914" s="40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4.25" customHeight="1">
      <c r="A915" s="41"/>
      <c r="B915" s="40"/>
      <c r="C915" s="40"/>
      <c r="D915" s="40"/>
      <c r="E915" s="40"/>
      <c r="F915" s="40"/>
      <c r="G915" s="40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4.25" customHeight="1">
      <c r="A916" s="41"/>
      <c r="B916" s="40"/>
      <c r="C916" s="40"/>
      <c r="D916" s="40"/>
      <c r="E916" s="40"/>
      <c r="F916" s="40"/>
      <c r="G916" s="40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4.25" customHeight="1">
      <c r="A917" s="41"/>
      <c r="B917" s="40"/>
      <c r="C917" s="40"/>
      <c r="D917" s="40"/>
      <c r="E917" s="40"/>
      <c r="F917" s="40"/>
      <c r="G917" s="40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4.25" customHeight="1">
      <c r="A918" s="41"/>
      <c r="B918" s="40"/>
      <c r="C918" s="40"/>
      <c r="D918" s="40"/>
      <c r="E918" s="40"/>
      <c r="F918" s="40"/>
      <c r="G918" s="40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4.25" customHeight="1">
      <c r="A919" s="41"/>
      <c r="B919" s="40"/>
      <c r="C919" s="40"/>
      <c r="D919" s="40"/>
      <c r="E919" s="40"/>
      <c r="F919" s="40"/>
      <c r="G919" s="40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4.25" customHeight="1">
      <c r="A920" s="41"/>
      <c r="B920" s="40"/>
      <c r="C920" s="40"/>
      <c r="D920" s="40"/>
      <c r="E920" s="40"/>
      <c r="F920" s="40"/>
      <c r="G920" s="40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4.25" customHeight="1">
      <c r="A921" s="41"/>
      <c r="B921" s="40"/>
      <c r="C921" s="40"/>
      <c r="D921" s="40"/>
      <c r="E921" s="40"/>
      <c r="F921" s="40"/>
      <c r="G921" s="40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4.25" customHeight="1">
      <c r="A922" s="41"/>
      <c r="B922" s="40"/>
      <c r="C922" s="40"/>
      <c r="D922" s="40"/>
      <c r="E922" s="40"/>
      <c r="F922" s="40"/>
      <c r="G922" s="40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4.25" customHeight="1">
      <c r="A923" s="41"/>
      <c r="B923" s="40"/>
      <c r="C923" s="40"/>
      <c r="D923" s="40"/>
      <c r="E923" s="40"/>
      <c r="F923" s="40"/>
      <c r="G923" s="40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4.25" customHeight="1">
      <c r="A924" s="41"/>
      <c r="B924" s="40"/>
      <c r="C924" s="40"/>
      <c r="D924" s="40"/>
      <c r="E924" s="40"/>
      <c r="F924" s="40"/>
      <c r="G924" s="40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4.25" customHeight="1">
      <c r="A925" s="41"/>
      <c r="B925" s="40"/>
      <c r="C925" s="40"/>
      <c r="D925" s="40"/>
      <c r="E925" s="40"/>
      <c r="F925" s="40"/>
      <c r="G925" s="40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4.25" customHeight="1">
      <c r="A926" s="41"/>
      <c r="B926" s="40"/>
      <c r="C926" s="40"/>
      <c r="D926" s="40"/>
      <c r="E926" s="40"/>
      <c r="F926" s="40"/>
      <c r="G926" s="40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4.25" customHeight="1">
      <c r="A927" s="41"/>
      <c r="B927" s="40"/>
      <c r="C927" s="40"/>
      <c r="D927" s="40"/>
      <c r="E927" s="40"/>
      <c r="F927" s="40"/>
      <c r="G927" s="40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4.25" customHeight="1">
      <c r="A928" s="41"/>
      <c r="B928" s="40"/>
      <c r="C928" s="40"/>
      <c r="D928" s="40"/>
      <c r="E928" s="40"/>
      <c r="F928" s="40"/>
      <c r="G928" s="40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4.25" customHeight="1">
      <c r="A929" s="41"/>
      <c r="B929" s="40"/>
      <c r="C929" s="40"/>
      <c r="D929" s="40"/>
      <c r="E929" s="40"/>
      <c r="F929" s="40"/>
      <c r="G929" s="40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4.25" customHeight="1">
      <c r="A930" s="41"/>
      <c r="B930" s="40"/>
      <c r="C930" s="40"/>
      <c r="D930" s="40"/>
      <c r="E930" s="40"/>
      <c r="F930" s="40"/>
      <c r="G930" s="40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4.25" customHeight="1">
      <c r="A931" s="41"/>
      <c r="B931" s="40"/>
      <c r="C931" s="40"/>
      <c r="D931" s="40"/>
      <c r="E931" s="40"/>
      <c r="F931" s="40"/>
      <c r="G931" s="40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4.25" customHeight="1">
      <c r="A932" s="41"/>
      <c r="B932" s="40"/>
      <c r="C932" s="40"/>
      <c r="D932" s="40"/>
      <c r="E932" s="40"/>
      <c r="F932" s="40"/>
      <c r="G932" s="40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4.25" customHeight="1">
      <c r="A933" s="41"/>
      <c r="B933" s="40"/>
      <c r="C933" s="40"/>
      <c r="D933" s="40"/>
      <c r="E933" s="40"/>
      <c r="F933" s="40"/>
      <c r="G933" s="40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4.25" customHeight="1">
      <c r="A934" s="41"/>
      <c r="B934" s="40"/>
      <c r="C934" s="40"/>
      <c r="D934" s="40"/>
      <c r="E934" s="40"/>
      <c r="F934" s="40"/>
      <c r="G934" s="40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4.25" customHeight="1">
      <c r="A935" s="41"/>
      <c r="B935" s="40"/>
      <c r="C935" s="40"/>
      <c r="D935" s="40"/>
      <c r="E935" s="40"/>
      <c r="F935" s="40"/>
      <c r="G935" s="40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4.25" customHeight="1">
      <c r="A936" s="41"/>
      <c r="B936" s="40"/>
      <c r="C936" s="40"/>
      <c r="D936" s="40"/>
      <c r="E936" s="40"/>
      <c r="F936" s="40"/>
      <c r="G936" s="40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4.25" customHeight="1">
      <c r="A937" s="41"/>
      <c r="B937" s="40"/>
      <c r="C937" s="40"/>
      <c r="D937" s="40"/>
      <c r="E937" s="40"/>
      <c r="F937" s="40"/>
      <c r="G937" s="40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4.25" customHeight="1">
      <c r="A938" s="41"/>
      <c r="B938" s="40"/>
      <c r="C938" s="40"/>
      <c r="D938" s="40"/>
      <c r="E938" s="40"/>
      <c r="F938" s="40"/>
      <c r="G938" s="40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4.25" customHeight="1">
      <c r="A939" s="41"/>
      <c r="B939" s="40"/>
      <c r="C939" s="40"/>
      <c r="D939" s="40"/>
      <c r="E939" s="40"/>
      <c r="F939" s="40"/>
      <c r="G939" s="40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4.25" customHeight="1">
      <c r="A940" s="41"/>
      <c r="B940" s="40"/>
      <c r="C940" s="40"/>
      <c r="D940" s="40"/>
      <c r="E940" s="40"/>
      <c r="F940" s="40"/>
      <c r="G940" s="40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4.25" customHeight="1">
      <c r="A941" s="41"/>
      <c r="B941" s="40"/>
      <c r="C941" s="40"/>
      <c r="D941" s="40"/>
      <c r="E941" s="40"/>
      <c r="F941" s="40"/>
      <c r="G941" s="40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4.25" customHeight="1">
      <c r="A942" s="41"/>
      <c r="B942" s="40"/>
      <c r="C942" s="40"/>
      <c r="D942" s="40"/>
      <c r="E942" s="40"/>
      <c r="F942" s="40"/>
      <c r="G942" s="40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4.25" customHeight="1">
      <c r="A943" s="41"/>
      <c r="B943" s="40"/>
      <c r="C943" s="40"/>
      <c r="D943" s="40"/>
      <c r="E943" s="40"/>
      <c r="F943" s="40"/>
      <c r="G943" s="40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4.25" customHeight="1">
      <c r="A944" s="41"/>
      <c r="B944" s="40"/>
      <c r="C944" s="40"/>
      <c r="D944" s="40"/>
      <c r="E944" s="40"/>
      <c r="F944" s="40"/>
      <c r="G944" s="40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4.25" customHeight="1">
      <c r="A945" s="41"/>
      <c r="B945" s="40"/>
      <c r="C945" s="40"/>
      <c r="D945" s="40"/>
      <c r="E945" s="40"/>
      <c r="F945" s="40"/>
      <c r="G945" s="40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4.25" customHeight="1">
      <c r="A946" s="41"/>
      <c r="B946" s="40"/>
      <c r="C946" s="40"/>
      <c r="D946" s="40"/>
      <c r="E946" s="40"/>
      <c r="F946" s="40"/>
      <c r="G946" s="40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4.25" customHeight="1">
      <c r="A947" s="41"/>
      <c r="B947" s="40"/>
      <c r="C947" s="40"/>
      <c r="D947" s="40"/>
      <c r="E947" s="40"/>
      <c r="F947" s="40"/>
      <c r="G947" s="40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4.25" customHeight="1">
      <c r="A948" s="41"/>
      <c r="B948" s="40"/>
      <c r="C948" s="40"/>
      <c r="D948" s="40"/>
      <c r="E948" s="40"/>
      <c r="F948" s="40"/>
      <c r="G948" s="40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4.25" customHeight="1">
      <c r="A949" s="41"/>
      <c r="B949" s="40"/>
      <c r="C949" s="40"/>
      <c r="D949" s="40"/>
      <c r="E949" s="40"/>
      <c r="F949" s="40"/>
      <c r="G949" s="40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4.25" customHeight="1">
      <c r="A950" s="41"/>
      <c r="B950" s="40"/>
      <c r="C950" s="40"/>
      <c r="D950" s="40"/>
      <c r="E950" s="40"/>
      <c r="F950" s="40"/>
      <c r="G950" s="40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4.25" customHeight="1">
      <c r="A951" s="41"/>
      <c r="B951" s="40"/>
      <c r="C951" s="40"/>
      <c r="D951" s="40"/>
      <c r="E951" s="40"/>
      <c r="F951" s="40"/>
      <c r="G951" s="40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4.25" customHeight="1">
      <c r="A952" s="41"/>
      <c r="B952" s="40"/>
      <c r="C952" s="40"/>
      <c r="D952" s="40"/>
      <c r="E952" s="40"/>
      <c r="F952" s="40"/>
      <c r="G952" s="40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4.25" customHeight="1">
      <c r="A953" s="41"/>
      <c r="B953" s="40"/>
      <c r="C953" s="40"/>
      <c r="D953" s="40"/>
      <c r="E953" s="40"/>
      <c r="F953" s="40"/>
      <c r="G953" s="40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4.25" customHeight="1">
      <c r="A954" s="41"/>
      <c r="B954" s="40"/>
      <c r="C954" s="40"/>
      <c r="D954" s="40"/>
      <c r="E954" s="40"/>
      <c r="F954" s="40"/>
      <c r="G954" s="40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4.25" customHeight="1">
      <c r="A955" s="41"/>
      <c r="B955" s="40"/>
      <c r="C955" s="40"/>
      <c r="D955" s="40"/>
      <c r="E955" s="40"/>
      <c r="F955" s="40"/>
      <c r="G955" s="40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4.25" customHeight="1">
      <c r="A956" s="41"/>
      <c r="B956" s="40"/>
      <c r="C956" s="40"/>
      <c r="D956" s="40"/>
      <c r="E956" s="40"/>
      <c r="F956" s="40"/>
      <c r="G956" s="40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4.25" customHeight="1">
      <c r="A957" s="41"/>
      <c r="B957" s="40"/>
      <c r="C957" s="40"/>
      <c r="D957" s="40"/>
      <c r="E957" s="40"/>
      <c r="F957" s="40"/>
      <c r="G957" s="40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4.25" customHeight="1">
      <c r="A958" s="41"/>
      <c r="B958" s="40"/>
      <c r="C958" s="40"/>
      <c r="D958" s="40"/>
      <c r="E958" s="40"/>
      <c r="F958" s="40"/>
      <c r="G958" s="40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4.25" customHeight="1">
      <c r="A959" s="41"/>
      <c r="B959" s="40"/>
      <c r="C959" s="40"/>
      <c r="D959" s="40"/>
      <c r="E959" s="40"/>
      <c r="F959" s="40"/>
      <c r="G959" s="40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4.25" customHeight="1">
      <c r="A960" s="41"/>
      <c r="B960" s="40"/>
      <c r="C960" s="40"/>
      <c r="D960" s="40"/>
      <c r="E960" s="40"/>
      <c r="F960" s="40"/>
      <c r="G960" s="40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4.25" customHeight="1">
      <c r="A961" s="41"/>
      <c r="B961" s="40"/>
      <c r="C961" s="40"/>
      <c r="D961" s="40"/>
      <c r="E961" s="40"/>
      <c r="F961" s="40"/>
      <c r="G961" s="40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4.25" customHeight="1">
      <c r="A962" s="41"/>
      <c r="B962" s="40"/>
      <c r="C962" s="40"/>
      <c r="D962" s="40"/>
      <c r="E962" s="40"/>
      <c r="F962" s="40"/>
      <c r="G962" s="40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4.25" customHeight="1">
      <c r="A963" s="41"/>
      <c r="B963" s="40"/>
      <c r="C963" s="40"/>
      <c r="D963" s="40"/>
      <c r="E963" s="40"/>
      <c r="F963" s="40"/>
      <c r="G963" s="40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4.25" customHeight="1">
      <c r="A964" s="41"/>
      <c r="B964" s="40"/>
      <c r="C964" s="40"/>
      <c r="D964" s="40"/>
      <c r="E964" s="40"/>
      <c r="F964" s="40"/>
      <c r="G964" s="40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4.25" customHeight="1">
      <c r="A965" s="41"/>
      <c r="B965" s="40"/>
      <c r="C965" s="40"/>
      <c r="D965" s="40"/>
      <c r="E965" s="40"/>
      <c r="F965" s="40"/>
      <c r="G965" s="40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4.25" customHeight="1">
      <c r="A966" s="41"/>
      <c r="B966" s="40"/>
      <c r="C966" s="40"/>
      <c r="D966" s="40"/>
      <c r="E966" s="40"/>
      <c r="F966" s="40"/>
      <c r="G966" s="40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4.25" customHeight="1">
      <c r="A967" s="41"/>
      <c r="B967" s="40"/>
      <c r="C967" s="40"/>
      <c r="D967" s="40"/>
      <c r="E967" s="40"/>
      <c r="F967" s="40"/>
      <c r="G967" s="40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4.25" customHeight="1">
      <c r="A968" s="41"/>
      <c r="B968" s="40"/>
      <c r="C968" s="40"/>
      <c r="D968" s="40"/>
      <c r="E968" s="40"/>
      <c r="F968" s="40"/>
      <c r="G968" s="40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4.25" customHeight="1">
      <c r="A969" s="41"/>
      <c r="B969" s="40"/>
      <c r="C969" s="40"/>
      <c r="D969" s="40"/>
      <c r="E969" s="40"/>
      <c r="F969" s="40"/>
      <c r="G969" s="40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4.25" customHeight="1">
      <c r="A970" s="41"/>
      <c r="B970" s="40"/>
      <c r="C970" s="40"/>
      <c r="D970" s="40"/>
      <c r="E970" s="40"/>
      <c r="F970" s="40"/>
      <c r="G970" s="40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4.25" customHeight="1">
      <c r="A971" s="41"/>
      <c r="B971" s="40"/>
      <c r="C971" s="40"/>
      <c r="D971" s="40"/>
      <c r="E971" s="40"/>
      <c r="F971" s="40"/>
      <c r="G971" s="40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4.25" customHeight="1">
      <c r="A972" s="41"/>
      <c r="B972" s="40"/>
      <c r="C972" s="40"/>
      <c r="D972" s="40"/>
      <c r="E972" s="40"/>
      <c r="F972" s="40"/>
      <c r="G972" s="40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4.25" customHeight="1">
      <c r="A973" s="41"/>
      <c r="B973" s="40"/>
      <c r="C973" s="40"/>
      <c r="D973" s="40"/>
      <c r="E973" s="40"/>
      <c r="F973" s="40"/>
      <c r="G973" s="40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4.25" customHeight="1">
      <c r="A974" s="41"/>
      <c r="B974" s="40"/>
      <c r="C974" s="40"/>
      <c r="D974" s="40"/>
      <c r="E974" s="40"/>
      <c r="F974" s="40"/>
      <c r="G974" s="40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4.25" customHeight="1">
      <c r="A975" s="41"/>
      <c r="B975" s="40"/>
      <c r="C975" s="40"/>
      <c r="D975" s="40"/>
      <c r="E975" s="40"/>
      <c r="F975" s="40"/>
      <c r="G975" s="40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4.25" customHeight="1">
      <c r="A976" s="41"/>
      <c r="B976" s="40"/>
      <c r="C976" s="40"/>
      <c r="D976" s="40"/>
      <c r="E976" s="40"/>
      <c r="F976" s="40"/>
      <c r="G976" s="40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4.25" customHeight="1">
      <c r="A977" s="41"/>
      <c r="B977" s="40"/>
      <c r="C977" s="40"/>
      <c r="D977" s="40"/>
      <c r="E977" s="40"/>
      <c r="F977" s="40"/>
      <c r="G977" s="40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4.25" customHeight="1">
      <c r="A978" s="41"/>
      <c r="B978" s="40"/>
      <c r="C978" s="40"/>
      <c r="D978" s="40"/>
      <c r="E978" s="40"/>
      <c r="F978" s="40"/>
      <c r="G978" s="40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4.25" customHeight="1">
      <c r="A979" s="41"/>
      <c r="B979" s="40"/>
      <c r="C979" s="40"/>
      <c r="D979" s="40"/>
      <c r="E979" s="40"/>
      <c r="F979" s="40"/>
      <c r="G979" s="40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4.25" customHeight="1">
      <c r="A980" s="41"/>
      <c r="B980" s="40"/>
      <c r="C980" s="40"/>
      <c r="D980" s="40"/>
      <c r="E980" s="40"/>
      <c r="F980" s="40"/>
      <c r="G980" s="40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4.25" customHeight="1">
      <c r="A981" s="41"/>
      <c r="B981" s="40"/>
      <c r="C981" s="40"/>
      <c r="D981" s="40"/>
      <c r="E981" s="40"/>
      <c r="F981" s="40"/>
      <c r="G981" s="40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4.25" customHeight="1">
      <c r="A982" s="41"/>
      <c r="B982" s="40"/>
      <c r="C982" s="40"/>
      <c r="D982" s="40"/>
      <c r="E982" s="40"/>
      <c r="F982" s="40"/>
      <c r="G982" s="40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4.25" customHeight="1">
      <c r="A983" s="41"/>
      <c r="B983" s="40"/>
      <c r="C983" s="40"/>
      <c r="D983" s="40"/>
      <c r="E983" s="40"/>
      <c r="F983" s="40"/>
      <c r="G983" s="40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4.25" customHeight="1">
      <c r="A984" s="41"/>
      <c r="B984" s="40"/>
      <c r="C984" s="40"/>
      <c r="D984" s="40"/>
      <c r="E984" s="40"/>
      <c r="F984" s="40"/>
      <c r="G984" s="40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4.25" customHeight="1">
      <c r="A985" s="41"/>
      <c r="B985" s="40"/>
      <c r="C985" s="40"/>
      <c r="D985" s="40"/>
      <c r="E985" s="40"/>
      <c r="F985" s="40"/>
      <c r="G985" s="40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4.25" customHeight="1">
      <c r="A986" s="41"/>
      <c r="B986" s="40"/>
      <c r="C986" s="40"/>
      <c r="D986" s="40"/>
      <c r="E986" s="40"/>
      <c r="F986" s="40"/>
      <c r="G986" s="40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4.25" customHeight="1">
      <c r="A987" s="41"/>
      <c r="B987" s="40"/>
      <c r="C987" s="40"/>
      <c r="D987" s="40"/>
      <c r="E987" s="40"/>
      <c r="F987" s="40"/>
      <c r="G987" s="40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4.25" customHeight="1">
      <c r="A988" s="41"/>
      <c r="B988" s="40"/>
      <c r="C988" s="40"/>
      <c r="D988" s="40"/>
      <c r="E988" s="40"/>
      <c r="F988" s="40"/>
      <c r="G988" s="40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4.25" customHeight="1">
      <c r="A989" s="41"/>
      <c r="B989" s="40"/>
      <c r="C989" s="40"/>
      <c r="D989" s="40"/>
      <c r="E989" s="40"/>
      <c r="F989" s="40"/>
      <c r="G989" s="40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4.25" customHeight="1">
      <c r="A990" s="41"/>
      <c r="B990" s="40"/>
      <c r="C990" s="40"/>
      <c r="D990" s="40"/>
      <c r="E990" s="40"/>
      <c r="F990" s="40"/>
      <c r="G990" s="40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4.25" customHeight="1">
      <c r="A991" s="41"/>
      <c r="B991" s="40"/>
      <c r="C991" s="40"/>
      <c r="D991" s="40"/>
      <c r="E991" s="40"/>
      <c r="F991" s="40"/>
      <c r="G991" s="40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4.25" customHeight="1">
      <c r="A992" s="41"/>
      <c r="B992" s="40"/>
      <c r="C992" s="40"/>
      <c r="D992" s="40"/>
      <c r="E992" s="40"/>
      <c r="F992" s="40"/>
      <c r="G992" s="40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4.25" customHeight="1">
      <c r="A993" s="41"/>
      <c r="B993" s="40"/>
      <c r="C993" s="40"/>
      <c r="D993" s="40"/>
      <c r="E993" s="40"/>
      <c r="F993" s="40"/>
      <c r="G993" s="40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4.25" customHeight="1">
      <c r="A994" s="41"/>
      <c r="B994" s="40"/>
      <c r="C994" s="40"/>
      <c r="D994" s="40"/>
      <c r="E994" s="40"/>
      <c r="F994" s="40"/>
      <c r="G994" s="40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4.25" customHeight="1">
      <c r="A995" s="41"/>
      <c r="B995" s="40"/>
      <c r="C995" s="40"/>
      <c r="D995" s="40"/>
      <c r="E995" s="40"/>
      <c r="F995" s="40"/>
      <c r="G995" s="40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4.25" customHeight="1">
      <c r="A996" s="41"/>
      <c r="B996" s="40"/>
      <c r="C996" s="40"/>
      <c r="D996" s="40"/>
      <c r="E996" s="40"/>
      <c r="F996" s="40"/>
      <c r="G996" s="40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4.25" customHeight="1">
      <c r="A997" s="41"/>
      <c r="B997" s="40"/>
      <c r="C997" s="40"/>
      <c r="D997" s="40"/>
      <c r="E997" s="40"/>
      <c r="F997" s="40"/>
      <c r="G997" s="40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4.25" customHeight="1">
      <c r="A998" s="41"/>
      <c r="B998" s="40"/>
      <c r="C998" s="40"/>
      <c r="D998" s="40"/>
      <c r="E998" s="40"/>
      <c r="F998" s="40"/>
      <c r="G998" s="40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4.25" customHeight="1">
      <c r="A999" s="41"/>
      <c r="B999" s="40"/>
      <c r="C999" s="40"/>
      <c r="D999" s="40"/>
      <c r="E999" s="40"/>
      <c r="F999" s="40"/>
      <c r="G999" s="40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4.25" customHeight="1">
      <c r="A1000" s="41"/>
      <c r="B1000" s="40"/>
      <c r="C1000" s="40"/>
      <c r="D1000" s="40"/>
      <c r="E1000" s="40"/>
      <c r="F1000" s="40"/>
      <c r="G1000" s="40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ht="14.25" customHeight="1">
      <c r="A1001" s="41"/>
      <c r="B1001" s="40"/>
      <c r="C1001" s="40"/>
      <c r="D1001" s="40"/>
      <c r="E1001" s="40"/>
      <c r="F1001" s="40"/>
      <c r="G1001" s="40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ht="14.25" customHeight="1">
      <c r="A1002" s="41"/>
      <c r="B1002" s="40"/>
      <c r="C1002" s="40"/>
      <c r="D1002" s="40"/>
      <c r="E1002" s="40"/>
      <c r="F1002" s="40"/>
      <c r="G1002" s="40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ht="14.25" customHeight="1">
      <c r="A1003" s="41"/>
      <c r="B1003" s="40"/>
      <c r="C1003" s="40"/>
      <c r="D1003" s="40"/>
      <c r="E1003" s="40"/>
      <c r="F1003" s="40"/>
      <c r="G1003" s="40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ht="14.25" customHeight="1">
      <c r="A1004" s="41"/>
      <c r="B1004" s="40"/>
      <c r="C1004" s="40"/>
      <c r="D1004" s="40"/>
      <c r="E1004" s="40"/>
      <c r="F1004" s="40"/>
      <c r="G1004" s="40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ht="14.25" customHeight="1">
      <c r="A1005" s="41"/>
      <c r="B1005" s="40"/>
      <c r="C1005" s="40"/>
      <c r="D1005" s="40"/>
      <c r="E1005" s="40"/>
      <c r="F1005" s="40"/>
      <c r="G1005" s="40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ht="14.25" customHeight="1">
      <c r="A1006" s="41"/>
      <c r="B1006" s="40"/>
      <c r="C1006" s="40"/>
      <c r="D1006" s="40"/>
      <c r="E1006" s="40"/>
      <c r="F1006" s="40"/>
      <c r="G1006" s="40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ht="14.25" customHeight="1">
      <c r="A1007" s="41"/>
      <c r="B1007" s="40"/>
      <c r="C1007" s="40"/>
      <c r="D1007" s="40"/>
      <c r="E1007" s="40"/>
      <c r="F1007" s="40"/>
      <c r="G1007" s="40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ht="14.25" customHeight="1">
      <c r="A1008" s="41"/>
      <c r="B1008" s="40"/>
      <c r="C1008" s="40"/>
      <c r="D1008" s="40"/>
      <c r="E1008" s="40"/>
      <c r="F1008" s="40"/>
      <c r="G1008" s="40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ht="14.25" customHeight="1">
      <c r="A1009" s="41"/>
      <c r="B1009" s="40"/>
      <c r="C1009" s="40"/>
      <c r="D1009" s="40"/>
      <c r="E1009" s="40"/>
      <c r="F1009" s="40"/>
      <c r="G1009" s="40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ht="14.25" customHeight="1">
      <c r="A1010" s="41"/>
      <c r="B1010" s="40"/>
      <c r="C1010" s="40"/>
      <c r="D1010" s="40"/>
      <c r="E1010" s="40"/>
      <c r="F1010" s="40"/>
      <c r="G1010" s="40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</sheetData>
  <mergeCells count="23"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7:E47"/>
    <mergeCell ref="C48:E48"/>
    <mergeCell ref="C40:E40"/>
    <mergeCell ref="C41:E41"/>
    <mergeCell ref="C42:E42"/>
    <mergeCell ref="C43:E43"/>
    <mergeCell ref="C44:E44"/>
    <mergeCell ref="C45:E45"/>
    <mergeCell ref="C46:E46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Col="1"/>
  <cols>
    <col customWidth="1" min="1" max="1" width="3.38"/>
    <col customWidth="1" min="2" max="2" width="14.88"/>
    <col customWidth="1" min="3" max="3" width="16.75"/>
    <col customWidth="1" min="4" max="4" width="3.63"/>
    <col customWidth="1" min="5" max="5" width="17.25"/>
    <col customWidth="1" min="6" max="7" width="9.0" outlineLevel="1"/>
    <col customWidth="1" min="8" max="8" width="8.5"/>
    <col customWidth="1" min="9" max="9" width="16.75"/>
    <col customWidth="1" min="10" max="10" width="3.63"/>
    <col customWidth="1" min="11" max="11" width="17.25"/>
    <col customWidth="1" min="12" max="13" width="9.0" outlineLevel="1"/>
    <col customWidth="1" min="14" max="14" width="8.0"/>
    <col customWidth="1" min="15" max="15" width="16.38"/>
    <col customWidth="1" min="16" max="16" width="1.88"/>
    <col customWidth="1" min="17" max="17" width="14.88"/>
    <col customWidth="1" min="18" max="19" width="8.0"/>
    <col customWidth="1" min="20" max="20" width="8.38"/>
    <col customWidth="1" min="21" max="21" width="13.38"/>
    <col customWidth="1" min="22" max="22" width="8.0"/>
    <col customWidth="1" min="23" max="23" width="10.88"/>
    <col customWidth="1" min="24" max="51" width="8.0"/>
  </cols>
  <sheetData>
    <row r="1" ht="14.25" customHeight="1">
      <c r="A1" s="41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</row>
    <row r="2" ht="14.25" customHeight="1">
      <c r="A2" s="41"/>
      <c r="B2" s="40"/>
      <c r="C2" s="88" t="s">
        <v>146</v>
      </c>
      <c r="H2" s="40"/>
      <c r="I2" s="88" t="s">
        <v>147</v>
      </c>
      <c r="N2" s="41"/>
      <c r="O2" s="88" t="s">
        <v>148</v>
      </c>
      <c r="T2" s="41"/>
      <c r="U2" s="88" t="s">
        <v>148</v>
      </c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</row>
    <row r="3" ht="14.25" customHeight="1">
      <c r="A3" s="41"/>
      <c r="B3" s="1"/>
      <c r="C3" s="89" t="s">
        <v>149</v>
      </c>
      <c r="F3" s="74" t="s">
        <v>88</v>
      </c>
      <c r="G3" s="74" t="s">
        <v>89</v>
      </c>
      <c r="H3" s="40"/>
      <c r="I3" s="42" t="s">
        <v>150</v>
      </c>
      <c r="J3" s="43"/>
      <c r="K3" s="44"/>
      <c r="L3" s="9" t="s">
        <v>88</v>
      </c>
      <c r="M3" s="9" t="s">
        <v>89</v>
      </c>
      <c r="N3" s="41"/>
      <c r="O3" s="42" t="s">
        <v>151</v>
      </c>
      <c r="P3" s="43"/>
      <c r="Q3" s="44"/>
      <c r="R3" s="74" t="s">
        <v>88</v>
      </c>
      <c r="S3" s="74" t="s">
        <v>89</v>
      </c>
      <c r="T3" s="41"/>
      <c r="U3" s="42" t="s">
        <v>152</v>
      </c>
      <c r="V3" s="43"/>
      <c r="W3" s="44"/>
      <c r="X3" s="9" t="s">
        <v>88</v>
      </c>
      <c r="Y3" s="9" t="s">
        <v>89</v>
      </c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</row>
    <row r="4" ht="14.25" customHeight="1">
      <c r="A4" s="41"/>
      <c r="B4" s="63" t="s">
        <v>2</v>
      </c>
      <c r="C4" s="90">
        <f>VLOOKUP($B4,Form_SuperClassico!$C$3:$E$23,2,FALSE)</f>
        <v>2</v>
      </c>
      <c r="D4" s="91" t="s">
        <v>98</v>
      </c>
      <c r="E4" s="90">
        <f>VLOOKUP($B4,Form_SuperClassico!$C$3:$E$23,3,FALSE)</f>
        <v>1</v>
      </c>
      <c r="F4" s="47" t="str">
        <f t="shared" ref="F4:F25" si="1">IF(C4&gt;E4,"casa",IF(C4=E4,"empate","visita"))</f>
        <v>casa</v>
      </c>
      <c r="G4" s="48">
        <f>IF(C4=SC!C$25,IF(SC!E$25=E4,3.4,IF(F4=SC!F$25,1.7,0)),IF(F4=SC!F$25,1.7,0))*IF(COUNTIF($F$4:F$24,F4)=1,2,1)</f>
        <v>1.7</v>
      </c>
      <c r="H4" s="40"/>
      <c r="I4" s="90">
        <f>VLOOKUP($B4,Form_SuperClassico!$C$25:$E$45,2,FALSE)</f>
        <v>3</v>
      </c>
      <c r="J4" s="91" t="s">
        <v>98</v>
      </c>
      <c r="K4" s="90">
        <f>VLOOKUP($B4,Form_SuperClassico!$C$25:$E$45,3,FALSE)</f>
        <v>2</v>
      </c>
      <c r="L4" s="47" t="str">
        <f t="shared" ref="L4:L25" si="2">IF(I4&gt;K4,"casa",IF(I4=K4,"empate","visita"))</f>
        <v>casa</v>
      </c>
      <c r="M4" s="48">
        <f>IF(I4=SC!I$25,IF(SC!K$25=K4,3.4,IF(L4=SC!L$25,1.7,0)),IF(L4=SC!L$25,1.7,0))*IF(COUNTIF(L$4:L$24,L4)=1,2,1)</f>
        <v>0</v>
      </c>
      <c r="N4" s="41"/>
      <c r="O4" s="90">
        <f>VLOOKUP($B4,Form_SuperClassico!$C$47:$G$67,2,FALSE)</f>
        <v>3</v>
      </c>
      <c r="P4" s="91" t="s">
        <v>98</v>
      </c>
      <c r="Q4" s="90">
        <f>VLOOKUP($B4,Form_SuperClassico!$C$47:$G$67,3,FALSE)</f>
        <v>1</v>
      </c>
      <c r="R4" s="47" t="str">
        <f t="shared" ref="R4:R25" si="3">IF(O4&gt;Q4,"casa",IF(O4=Q4,"empate","visita"))</f>
        <v>casa</v>
      </c>
      <c r="S4" s="48">
        <f>IF(O4=SC!O$25,IF(SC!Q$25=Q4,3.4,IF(R4=SC!R$25,1.7,0)),IF(R4=SC!R$25,1.7,0))*IF(COUNTIF($R$4:R$24,R4)=1,2,1)</f>
        <v>0</v>
      </c>
      <c r="T4" s="41"/>
      <c r="U4" s="90">
        <f>VLOOKUP($B4,Form_SuperClassico!$C$47:$G$128,4,FALSE)</f>
        <v>2</v>
      </c>
      <c r="V4" s="91" t="s">
        <v>98</v>
      </c>
      <c r="W4" s="90">
        <f>VLOOKUP($B4,Form_SuperClassico!$C$47:$G$128,5,FALSE)</f>
        <v>1</v>
      </c>
      <c r="X4" s="47" t="str">
        <f t="shared" ref="X4:X25" si="4">IF(U4&gt;W4,"casa",IF(U4=W4,"empate","visita"))</f>
        <v>casa</v>
      </c>
      <c r="Y4" s="48">
        <f>IF(U4=SC!U$25,IF(SC!W$25=W4,3.4,IF(X4=SC!X$25,1.7,0)),IF(X4=SC!X$25,1.7,0))*IF(COUNTIF(X$4:X$24,X4)=1,2,1)</f>
        <v>1.7</v>
      </c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</row>
    <row r="5" ht="14.25" customHeight="1">
      <c r="A5" s="41"/>
      <c r="B5" s="51" t="s">
        <v>3</v>
      </c>
      <c r="C5" s="90">
        <f>VLOOKUP($B5,Form_SuperClassico!$C$3:$E$23,2,FALSE)</f>
        <v>1</v>
      </c>
      <c r="D5" s="92" t="s">
        <v>98</v>
      </c>
      <c r="E5" s="90">
        <f>VLOOKUP($B5,Form_SuperClassico!$C$3:$E$23,3,FALSE)</f>
        <v>2</v>
      </c>
      <c r="F5" s="47" t="str">
        <f t="shared" si="1"/>
        <v>visita</v>
      </c>
      <c r="G5" s="48">
        <f>IF(C5=SC!C$25,IF(SC!E$25=E5,3.4,IF(F5=SC!F$25,1.7,0)),IF(F5=SC!F$25,1.7,0))*IF(COUNTIF($F$4:F$24,F5)=1,2,1)</f>
        <v>0</v>
      </c>
      <c r="H5" s="40"/>
      <c r="I5" s="90">
        <f>VLOOKUP($B5,Form_SuperClassico!$C$25:$E$45,2,FALSE)</f>
        <v>3</v>
      </c>
      <c r="J5" s="92" t="s">
        <v>98</v>
      </c>
      <c r="K5" s="90">
        <f>VLOOKUP($B5,Form_SuperClassico!$C$25:$E$45,3,FALSE)</f>
        <v>2</v>
      </c>
      <c r="L5" s="47" t="str">
        <f t="shared" si="2"/>
        <v>casa</v>
      </c>
      <c r="M5" s="48">
        <f>IF(I5=SC!I$25,IF(SC!K$25=K5,3.4,IF(L5=SC!L$25,1.7,0)),IF(L5=SC!L$25,1.7,0))*IF(COUNTIF(L$4:L$24,L5)=1,2,1)</f>
        <v>0</v>
      </c>
      <c r="N5" s="41"/>
      <c r="O5" s="90">
        <f>VLOOKUP($B5,Form_SuperClassico!$C$47:$G$67,2,FALSE)</f>
        <v>3</v>
      </c>
      <c r="P5" s="91" t="s">
        <v>98</v>
      </c>
      <c r="Q5" s="90">
        <f>VLOOKUP($B5,Form_SuperClassico!$C$47:$G$67,3,FALSE)</f>
        <v>1</v>
      </c>
      <c r="R5" s="47" t="str">
        <f t="shared" si="3"/>
        <v>casa</v>
      </c>
      <c r="S5" s="48">
        <f>IF(O5=SC!O$25,IF(SC!Q$25=Q5,3.4,IF(R5=SC!R$25,1.7,0)),IF(R5=SC!R$25,1.7,0))*IF(COUNTIF($R$4:R$24,R5)=1,2,1)</f>
        <v>0</v>
      </c>
      <c r="T5" s="41"/>
      <c r="U5" s="90">
        <f>VLOOKUP($B5,Form_SuperClassico!$C$47:$G$128,4,FALSE)</f>
        <v>0</v>
      </c>
      <c r="V5" s="91" t="s">
        <v>98</v>
      </c>
      <c r="W5" s="90">
        <f>VLOOKUP($B5,Form_SuperClassico!$C$47:$G$128,5,FALSE)</f>
        <v>0</v>
      </c>
      <c r="X5" s="47" t="str">
        <f t="shared" si="4"/>
        <v>empate</v>
      </c>
      <c r="Y5" s="48">
        <f>IF(U5=SC!U$25,IF(SC!W$25=W5,3.4,IF(X5=SC!X$25,1.7,0)),IF(X5=SC!X$25,1.7,0))*IF(COUNTIF(X$4:X$24,X5)=1,2,1)</f>
        <v>0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</row>
    <row r="6" ht="14.25" customHeight="1">
      <c r="A6" s="41"/>
      <c r="B6" s="51" t="s">
        <v>4</v>
      </c>
      <c r="C6" s="90">
        <f>VLOOKUP($B6,Form_SuperClassico!$C$3:$E$23,2,FALSE)</f>
        <v>2</v>
      </c>
      <c r="D6" s="93" t="s">
        <v>98</v>
      </c>
      <c r="E6" s="90">
        <f>VLOOKUP($B6,Form_SuperClassico!$C$3:$E$23,3,FALSE)</f>
        <v>2</v>
      </c>
      <c r="F6" s="47" t="str">
        <f t="shared" si="1"/>
        <v>empate</v>
      </c>
      <c r="G6" s="48">
        <f>IF(C6=SC!C$25,IF(SC!E$25=E6,3.4,IF(F6=SC!F$25,1.7,0)),IF(F6=SC!F$25,1.7,0))*IF(COUNTIF($F$4:F$24,F6)=1,2,1)</f>
        <v>0</v>
      </c>
      <c r="H6" s="40"/>
      <c r="I6" s="90">
        <f>VLOOKUP($B6,Form_SuperClassico!$C$25:$E$45,2,FALSE)</f>
        <v>2</v>
      </c>
      <c r="J6" s="93" t="s">
        <v>98</v>
      </c>
      <c r="K6" s="90">
        <f>VLOOKUP($B6,Form_SuperClassico!$C$25:$E$45,3,FALSE)</f>
        <v>1</v>
      </c>
      <c r="L6" s="47" t="str">
        <f t="shared" si="2"/>
        <v>casa</v>
      </c>
      <c r="M6" s="48">
        <f>IF(I6=SC!I$25,IF(SC!K$25=K6,3.4,IF(L6=SC!L$25,1.7,0)),IF(L6=SC!L$25,1.7,0))*IF(COUNTIF(L$4:L$24,L6)=1,2,1)</f>
        <v>0</v>
      </c>
      <c r="N6" s="41"/>
      <c r="O6" s="90">
        <f>VLOOKUP($B6,Form_SuperClassico!$C$47:$G$67,2,FALSE)</f>
        <v>2</v>
      </c>
      <c r="P6" s="91" t="s">
        <v>98</v>
      </c>
      <c r="Q6" s="90">
        <f>VLOOKUP($B6,Form_SuperClassico!$C$47:$G$67,3,FALSE)</f>
        <v>0</v>
      </c>
      <c r="R6" s="47" t="str">
        <f t="shared" si="3"/>
        <v>casa</v>
      </c>
      <c r="S6" s="48">
        <f>IF(O6=SC!O$25,IF(SC!Q$25=Q6,3.4,IF(R6=SC!R$25,1.7,0)),IF(R6=SC!R$25,1.7,0))*IF(COUNTIF($R$4:R$24,R6)=1,2,1)</f>
        <v>0</v>
      </c>
      <c r="T6" s="41"/>
      <c r="U6" s="90">
        <f>VLOOKUP($B6,Form_SuperClassico!$C$47:$G$128,4,FALSE)</f>
        <v>0</v>
      </c>
      <c r="V6" s="91" t="s">
        <v>98</v>
      </c>
      <c r="W6" s="90">
        <f>VLOOKUP($B6,Form_SuperClassico!$C$47:$G$128,5,FALSE)</f>
        <v>1</v>
      </c>
      <c r="X6" s="47" t="str">
        <f t="shared" si="4"/>
        <v>visita</v>
      </c>
      <c r="Y6" s="48">
        <f>IF(U6=SC!U$25,IF(SC!W$25=W6,3.4,IF(X6=SC!X$25,1.7,0)),IF(X6=SC!X$25,1.7,0))*IF(COUNTIF(X$4:X$24,X6)=1,2,1)</f>
        <v>0</v>
      </c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</row>
    <row r="7" ht="14.25" customHeight="1">
      <c r="A7" s="41"/>
      <c r="B7" s="51" t="s">
        <v>5</v>
      </c>
      <c r="C7" s="90">
        <f>VLOOKUP($B7,Form_SuperClassico!$C$3:$E$23,2,FALSE)</f>
        <v>3</v>
      </c>
      <c r="D7" s="92" t="s">
        <v>98</v>
      </c>
      <c r="E7" s="90">
        <f>VLOOKUP($B7,Form_SuperClassico!$C$3:$E$23,3,FALSE)</f>
        <v>2</v>
      </c>
      <c r="F7" s="47" t="str">
        <f t="shared" si="1"/>
        <v>casa</v>
      </c>
      <c r="G7" s="48">
        <f>IF(C7=SC!C$25,IF(SC!E$25=E7,3.4,IF(F7=SC!F$25,1.7,0)),IF(F7=SC!F$25,1.7,0))*IF(COUNTIF($F$4:F$24,F7)=1,2,1)</f>
        <v>1.7</v>
      </c>
      <c r="H7" s="40"/>
      <c r="I7" s="90">
        <f>VLOOKUP($B7,Form_SuperClassico!$C$25:$E$45,2,FALSE)</f>
        <v>3</v>
      </c>
      <c r="J7" s="92" t="s">
        <v>98</v>
      </c>
      <c r="K7" s="90">
        <f>VLOOKUP($B7,Form_SuperClassico!$C$25:$E$45,3,FALSE)</f>
        <v>2</v>
      </c>
      <c r="L7" s="47" t="str">
        <f t="shared" si="2"/>
        <v>casa</v>
      </c>
      <c r="M7" s="48">
        <f>IF(I7=SC!I$25,IF(SC!K$25=K7,3.4,IF(L7=SC!L$25,1.7,0)),IF(L7=SC!L$25,1.7,0))*IF(COUNTIF(L$4:L$24,L7)=1,2,1)</f>
        <v>0</v>
      </c>
      <c r="N7" s="41"/>
      <c r="O7" s="90">
        <f>VLOOKUP($B7,Form_SuperClassico!$C$47:$G$67,2,FALSE)</f>
        <v>2</v>
      </c>
      <c r="P7" s="91" t="s">
        <v>98</v>
      </c>
      <c r="Q7" s="90">
        <f>VLOOKUP($B7,Form_SuperClassico!$C$47:$G$67,3,FALSE)</f>
        <v>1</v>
      </c>
      <c r="R7" s="47" t="str">
        <f t="shared" si="3"/>
        <v>casa</v>
      </c>
      <c r="S7" s="48">
        <f>IF(O7=SC!O$25,IF(SC!Q$25=Q7,3.4,IF(R7=SC!R$25,1.7,0)),IF(R7=SC!R$25,1.7,0))*IF(COUNTIF($R$4:R$24,R7)=1,2,1)</f>
        <v>0</v>
      </c>
      <c r="T7" s="41"/>
      <c r="U7" s="90">
        <f>VLOOKUP($B7,Form_SuperClassico!$C$47:$G$128,4,FALSE)</f>
        <v>2</v>
      </c>
      <c r="V7" s="91" t="s">
        <v>98</v>
      </c>
      <c r="W7" s="90">
        <f>VLOOKUP($B7,Form_SuperClassico!$C$47:$G$128,5,FALSE)</f>
        <v>0</v>
      </c>
      <c r="X7" s="47" t="str">
        <f t="shared" si="4"/>
        <v>casa</v>
      </c>
      <c r="Y7" s="48">
        <f>IF(U7=SC!U$25,IF(SC!W$25=W7,3.4,IF(X7=SC!X$25,1.7,0)),IF(X7=SC!X$25,1.7,0))*IF(COUNTIF(X$4:X$24,X7)=1,2,1)</f>
        <v>1.7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</row>
    <row r="8" ht="14.25" customHeight="1">
      <c r="A8" s="41"/>
      <c r="B8" s="51" t="s">
        <v>6</v>
      </c>
      <c r="C8" s="90">
        <f>VLOOKUP($B8,Form_SuperClassico!$C$3:$E$23,2,FALSE)</f>
        <v>2</v>
      </c>
      <c r="D8" s="92" t="s">
        <v>98</v>
      </c>
      <c r="E8" s="90">
        <f>VLOOKUP($B8,Form_SuperClassico!$C$3:$E$23,3,FALSE)</f>
        <v>1</v>
      </c>
      <c r="F8" s="47" t="str">
        <f t="shared" si="1"/>
        <v>casa</v>
      </c>
      <c r="G8" s="48">
        <f>IF(C8=SC!C$25,IF(SC!E$25=E8,3.4,IF(F8=SC!F$25,1.7,0)),IF(F8=SC!F$25,1.7,0))*IF(COUNTIF($F$4:F$24,F8)=1,2,1)</f>
        <v>1.7</v>
      </c>
      <c r="H8" s="40"/>
      <c r="I8" s="90">
        <f>VLOOKUP($B8,Form_SuperClassico!$C$25:$E$45,2,FALSE)</f>
        <v>3</v>
      </c>
      <c r="J8" s="92" t="s">
        <v>98</v>
      </c>
      <c r="K8" s="90">
        <f>VLOOKUP($B8,Form_SuperClassico!$C$25:$E$45,3,FALSE)</f>
        <v>2</v>
      </c>
      <c r="L8" s="47" t="str">
        <f t="shared" si="2"/>
        <v>casa</v>
      </c>
      <c r="M8" s="48">
        <f>IF(I8=SC!I$25,IF(SC!K$25=K8,3.4,IF(L8=SC!L$25,1.7,0)),IF(L8=SC!L$25,1.7,0))*IF(COUNTIF(L$4:L$24,L8)=1,2,1)</f>
        <v>0</v>
      </c>
      <c r="N8" s="41"/>
      <c r="O8" s="90">
        <f>VLOOKUP($B8,Form_SuperClassico!$C$47:$G$67,2,FALSE)</f>
        <v>3</v>
      </c>
      <c r="P8" s="91" t="s">
        <v>98</v>
      </c>
      <c r="Q8" s="90">
        <f>VLOOKUP($B8,Form_SuperClassico!$C$47:$G$67,3,FALSE)</f>
        <v>1</v>
      </c>
      <c r="R8" s="47" t="str">
        <f t="shared" si="3"/>
        <v>casa</v>
      </c>
      <c r="S8" s="48">
        <f>IF(O8=SC!O$25,IF(SC!Q$25=Q8,3.4,IF(R8=SC!R$25,1.7,0)),IF(R8=SC!R$25,1.7,0))*IF(COUNTIF($R$4:R$24,R8)=1,2,1)</f>
        <v>0</v>
      </c>
      <c r="T8" s="41"/>
      <c r="U8" s="90">
        <f>VLOOKUP($B8,Form_SuperClassico!$C$47:$G$128,4,FALSE)</f>
        <v>1</v>
      </c>
      <c r="V8" s="91" t="s">
        <v>98</v>
      </c>
      <c r="W8" s="90">
        <f>VLOOKUP($B8,Form_SuperClassico!$C$47:$G$128,5,FALSE)</f>
        <v>2</v>
      </c>
      <c r="X8" s="47" t="str">
        <f t="shared" si="4"/>
        <v>visita</v>
      </c>
      <c r="Y8" s="48">
        <f>IF(U8=SC!U$25,IF(SC!W$25=W8,3.4,IF(X8=SC!X$25,1.7,0)),IF(X8=SC!X$25,1.7,0))*IF(COUNTIF(X$4:X$24,X8)=1,2,1)</f>
        <v>0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</row>
    <row r="9" ht="14.25" customHeight="1">
      <c r="A9" s="41"/>
      <c r="B9" s="51" t="s">
        <v>7</v>
      </c>
      <c r="C9" s="90">
        <f>VLOOKUP($B9,Form_SuperClassico!$C$3:$E$23,2,FALSE)</f>
        <v>3</v>
      </c>
      <c r="D9" s="92" t="s">
        <v>98</v>
      </c>
      <c r="E9" s="90">
        <f>VLOOKUP($B9,Form_SuperClassico!$C$3:$E$23,3,FALSE)</f>
        <v>2</v>
      </c>
      <c r="F9" s="47" t="str">
        <f t="shared" si="1"/>
        <v>casa</v>
      </c>
      <c r="G9" s="48">
        <f>IF(C9=SC!C$25,IF(SC!E$25=E9,3.4,IF(F9=SC!F$25,1.7,0)),IF(F9=SC!F$25,1.7,0))*IF(COUNTIF($F$4:F$24,F9)=1,2,1)</f>
        <v>1.7</v>
      </c>
      <c r="H9" s="40"/>
      <c r="I9" s="90">
        <f>VLOOKUP($B9,Form_SuperClassico!$C$25:$E$45,2,FALSE)</f>
        <v>2</v>
      </c>
      <c r="J9" s="92" t="s">
        <v>98</v>
      </c>
      <c r="K9" s="90">
        <f>VLOOKUP($B9,Form_SuperClassico!$C$25:$E$45,3,FALSE)</f>
        <v>3</v>
      </c>
      <c r="L9" s="47" t="str">
        <f t="shared" si="2"/>
        <v>visita</v>
      </c>
      <c r="M9" s="48">
        <f>IF(I9=SC!I$25,IF(SC!K$25=K9,3.4,IF(L9=SC!L$25,1.7,0)),IF(L9=SC!L$25,1.7,0))*IF(COUNTIF(L$4:L$24,L9)=1,2,1)</f>
        <v>1.7</v>
      </c>
      <c r="N9" s="41"/>
      <c r="O9" s="90">
        <f>VLOOKUP($B9,Form_SuperClassico!$C$47:$G$67,2,FALSE)</f>
        <v>2</v>
      </c>
      <c r="P9" s="91" t="s">
        <v>98</v>
      </c>
      <c r="Q9" s="90">
        <f>VLOOKUP($B9,Form_SuperClassico!$C$47:$G$67,3,FALSE)</f>
        <v>1</v>
      </c>
      <c r="R9" s="47" t="str">
        <f t="shared" si="3"/>
        <v>casa</v>
      </c>
      <c r="S9" s="48">
        <f>IF(O9=SC!O$25,IF(SC!Q$25=Q9,3.4,IF(R9=SC!R$25,1.7,0)),IF(R9=SC!R$25,1.7,0))*IF(COUNTIF($R$4:R$24,R9)=1,2,1)</f>
        <v>0</v>
      </c>
      <c r="T9" s="41"/>
      <c r="U9" s="90">
        <f>VLOOKUP($B9,Form_SuperClassico!$C$47:$G$128,4,FALSE)</f>
        <v>2</v>
      </c>
      <c r="V9" s="91" t="s">
        <v>98</v>
      </c>
      <c r="W9" s="90">
        <f>VLOOKUP($B9,Form_SuperClassico!$C$47:$G$128,5,FALSE)</f>
        <v>3</v>
      </c>
      <c r="X9" s="47" t="str">
        <f t="shared" si="4"/>
        <v>visita</v>
      </c>
      <c r="Y9" s="48">
        <f>IF(U9=SC!U$25,IF(SC!W$25=W9,3.4,IF(X9=SC!X$25,1.7,0)),IF(X9=SC!X$25,1.7,0))*IF(COUNTIF(X$4:X$24,X9)=1,2,1)</f>
        <v>0</v>
      </c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</row>
    <row r="10" ht="14.25" customHeight="1">
      <c r="A10" s="41"/>
      <c r="B10" s="51" t="s">
        <v>8</v>
      </c>
      <c r="C10" s="90">
        <f>VLOOKUP($B10,Form_SuperClassico!$C$3:$E$23,2,FALSE)</f>
        <v>3</v>
      </c>
      <c r="D10" s="93" t="s">
        <v>98</v>
      </c>
      <c r="E10" s="90">
        <f>VLOOKUP($B10,Form_SuperClassico!$C$3:$E$23,3,FALSE)</f>
        <v>1</v>
      </c>
      <c r="F10" s="47" t="str">
        <f t="shared" si="1"/>
        <v>casa</v>
      </c>
      <c r="G10" s="48">
        <f>IF(C10=SC!C$25,IF(SC!E$25=E10,3.4,IF(F10=SC!F$25,1.7,0)),IF(F10=SC!F$25,1.7,0))*IF(COUNTIF($F$4:F$24,F10)=1,2,1)</f>
        <v>3.4</v>
      </c>
      <c r="H10" s="40"/>
      <c r="I10" s="90">
        <f>VLOOKUP($B10,Form_SuperClassico!$C$25:$E$45,2,FALSE)</f>
        <v>2</v>
      </c>
      <c r="J10" s="93" t="s">
        <v>98</v>
      </c>
      <c r="K10" s="90">
        <f>VLOOKUP($B10,Form_SuperClassico!$C$25:$E$45,3,FALSE)</f>
        <v>1</v>
      </c>
      <c r="L10" s="47" t="str">
        <f t="shared" si="2"/>
        <v>casa</v>
      </c>
      <c r="M10" s="48">
        <f>IF(I10=SC!I$25,IF(SC!K$25=K10,3.4,IF(L10=SC!L$25,1.7,0)),IF(L10=SC!L$25,1.7,0))*IF(COUNTIF(L$4:L$24,L10)=1,2,1)</f>
        <v>0</v>
      </c>
      <c r="N10" s="41"/>
      <c r="O10" s="90">
        <f>VLOOKUP($B10,Form_SuperClassico!$C$47:$G$67,2,FALSE)</f>
        <v>2</v>
      </c>
      <c r="P10" s="91" t="s">
        <v>98</v>
      </c>
      <c r="Q10" s="90">
        <f>VLOOKUP($B10,Form_SuperClassico!$C$47:$G$67,3,FALSE)</f>
        <v>2</v>
      </c>
      <c r="R10" s="47" t="str">
        <f t="shared" si="3"/>
        <v>empate</v>
      </c>
      <c r="S10" s="48">
        <f>IF(O10=SC!O$25,IF(SC!Q$25=Q10,3.4,IF(R10=SC!R$25,1.7,0)),IF(R10=SC!R$25,1.7,0))*IF(COUNTIF($R$4:R$24,R10)=1,2,1)</f>
        <v>0</v>
      </c>
      <c r="T10" s="41"/>
      <c r="U10" s="90">
        <f>VLOOKUP($B10,Form_SuperClassico!$C$47:$G$128,4,FALSE)</f>
        <v>2</v>
      </c>
      <c r="V10" s="91" t="s">
        <v>98</v>
      </c>
      <c r="W10" s="90">
        <f>VLOOKUP($B10,Form_SuperClassico!$C$47:$G$128,5,FALSE)</f>
        <v>1</v>
      </c>
      <c r="X10" s="47" t="str">
        <f t="shared" si="4"/>
        <v>casa</v>
      </c>
      <c r="Y10" s="48">
        <f>IF(U10=SC!U$25,IF(SC!W$25=W10,3.4,IF(X10=SC!X$25,1.7,0)),IF(X10=SC!X$25,1.7,0))*IF(COUNTIF(X$4:X$24,X10)=1,2,1)</f>
        <v>1.7</v>
      </c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</row>
    <row r="11" ht="14.25" customHeight="1">
      <c r="A11" s="41"/>
      <c r="B11" s="51" t="s">
        <v>9</v>
      </c>
      <c r="C11" s="90">
        <f>VLOOKUP($B11,Form_SuperClassico!$C$3:$E$23,2,FALSE)</f>
        <v>1</v>
      </c>
      <c r="D11" s="92" t="s">
        <v>98</v>
      </c>
      <c r="E11" s="90">
        <f>VLOOKUP($B11,Form_SuperClassico!$C$3:$E$23,3,FALSE)</f>
        <v>1</v>
      </c>
      <c r="F11" s="47" t="str">
        <f t="shared" si="1"/>
        <v>empate</v>
      </c>
      <c r="G11" s="48">
        <f>IF(C11=SC!C$25,IF(SC!E$25=E11,3.4,IF(F11=SC!F$25,1.7,0)),IF(F11=SC!F$25,1.7,0))*IF(COUNTIF($F$4:F$24,F11)=1,2,1)</f>
        <v>0</v>
      </c>
      <c r="H11" s="40"/>
      <c r="I11" s="90">
        <f>VLOOKUP($B11,Form_SuperClassico!$C$25:$E$45,2,FALSE)</f>
        <v>2</v>
      </c>
      <c r="J11" s="92" t="s">
        <v>98</v>
      </c>
      <c r="K11" s="90">
        <f>VLOOKUP($B11,Form_SuperClassico!$C$25:$E$45,3,FALSE)</f>
        <v>2</v>
      </c>
      <c r="L11" s="47" t="str">
        <f t="shared" si="2"/>
        <v>empate</v>
      </c>
      <c r="M11" s="48">
        <f>IF(I11=SC!I$25,IF(SC!K$25=K11,3.4,IF(L11=SC!L$25,1.7,0)),IF(L11=SC!L$25,1.7,0))*IF(COUNTIF(L$4:L$24,L11)=1,2,1)</f>
        <v>0</v>
      </c>
      <c r="N11" s="41"/>
      <c r="O11" s="90">
        <f>VLOOKUP($B11,Form_SuperClassico!$C$47:$G$67,2,FALSE)</f>
        <v>2</v>
      </c>
      <c r="P11" s="91" t="s">
        <v>98</v>
      </c>
      <c r="Q11" s="90">
        <f>VLOOKUP($B11,Form_SuperClassico!$C$47:$G$67,3,FALSE)</f>
        <v>1</v>
      </c>
      <c r="R11" s="47" t="str">
        <f t="shared" si="3"/>
        <v>casa</v>
      </c>
      <c r="S11" s="48">
        <f>IF(O11=SC!O$25,IF(SC!Q$25=Q11,3.4,IF(R11=SC!R$25,1.7,0)),IF(R11=SC!R$25,1.7,0))*IF(COUNTIF($R$4:R$24,R11)=1,2,1)</f>
        <v>0</v>
      </c>
      <c r="T11" s="41"/>
      <c r="U11" s="90">
        <f>VLOOKUP($B11,Form_SuperClassico!$C$47:$G$128,4,FALSE)</f>
        <v>1</v>
      </c>
      <c r="V11" s="91" t="s">
        <v>98</v>
      </c>
      <c r="W11" s="90">
        <f>VLOOKUP($B11,Form_SuperClassico!$C$47:$G$128,5,FALSE)</f>
        <v>2</v>
      </c>
      <c r="X11" s="47" t="str">
        <f t="shared" si="4"/>
        <v>visita</v>
      </c>
      <c r="Y11" s="48">
        <f>IF(U11=SC!U$25,IF(SC!W$25=W11,3.4,IF(X11=SC!X$25,1.7,0)),IF(X11=SC!X$25,1.7,0))*IF(COUNTIF(X$4:X$24,X11)=1,2,1)</f>
        <v>0</v>
      </c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</row>
    <row r="12" ht="14.25" customHeight="1">
      <c r="A12" s="41"/>
      <c r="B12" s="51" t="s">
        <v>10</v>
      </c>
      <c r="C12" s="90">
        <f>VLOOKUP($B12,Form_SuperClassico!$C$3:$E$23,2,FALSE)</f>
        <v>1</v>
      </c>
      <c r="D12" s="92" t="s">
        <v>98</v>
      </c>
      <c r="E12" s="90">
        <f>VLOOKUP($B12,Form_SuperClassico!$C$3:$E$23,3,FALSE)</f>
        <v>3</v>
      </c>
      <c r="F12" s="47" t="str">
        <f t="shared" si="1"/>
        <v>visita</v>
      </c>
      <c r="G12" s="48">
        <f>IF(C12=SC!C$25,IF(SC!E$25=E12,3.4,IF(F12=SC!F$25,1.7,0)),IF(F12=SC!F$25,1.7,0))*IF(COUNTIF($F$4:F$24,F12)=1,2,1)</f>
        <v>0</v>
      </c>
      <c r="H12" s="40"/>
      <c r="I12" s="90">
        <f>VLOOKUP($B12,Form_SuperClassico!$C$25:$E$45,2,FALSE)</f>
        <v>3</v>
      </c>
      <c r="J12" s="92" t="s">
        <v>98</v>
      </c>
      <c r="K12" s="90">
        <f>VLOOKUP($B12,Form_SuperClassico!$C$25:$E$45,3,FALSE)</f>
        <v>1</v>
      </c>
      <c r="L12" s="47" t="str">
        <f t="shared" si="2"/>
        <v>casa</v>
      </c>
      <c r="M12" s="48">
        <f>IF(I12=SC!I$25,IF(SC!K$25=K12,3.4,IF(L12=SC!L$25,1.7,0)),IF(L12=SC!L$25,1.7,0))*IF(COUNTIF(L$4:L$24,L12)=1,2,1)</f>
        <v>0</v>
      </c>
      <c r="N12" s="41"/>
      <c r="O12" s="90">
        <f>VLOOKUP($B12,Form_SuperClassico!$C$47:$G$67,2,FALSE)</f>
        <v>3</v>
      </c>
      <c r="P12" s="91" t="s">
        <v>98</v>
      </c>
      <c r="Q12" s="90">
        <f>VLOOKUP($B12,Form_SuperClassico!$C$47:$G$67,3,FALSE)</f>
        <v>1</v>
      </c>
      <c r="R12" s="47" t="str">
        <f t="shared" si="3"/>
        <v>casa</v>
      </c>
      <c r="S12" s="48">
        <f>IF(O12=SC!O$25,IF(SC!Q$25=Q12,3.4,IF(R12=SC!R$25,1.7,0)),IF(R12=SC!R$25,1.7,0))*IF(COUNTIF($R$4:R$24,R12)=1,2,1)</f>
        <v>0</v>
      </c>
      <c r="T12" s="41"/>
      <c r="U12" s="90">
        <f>VLOOKUP($B12,Form_SuperClassico!$C$47:$G$128,4,FALSE)</f>
        <v>2</v>
      </c>
      <c r="V12" s="91" t="s">
        <v>98</v>
      </c>
      <c r="W12" s="90">
        <f>VLOOKUP($B12,Form_SuperClassico!$C$47:$G$128,5,FALSE)</f>
        <v>2</v>
      </c>
      <c r="X12" s="47" t="str">
        <f t="shared" si="4"/>
        <v>empate</v>
      </c>
      <c r="Y12" s="48">
        <f>IF(U12=SC!U$25,IF(SC!W$25=W12,3.4,IF(X12=SC!X$25,1.7,0)),IF(X12=SC!X$25,1.7,0))*IF(COUNTIF(X$4:X$24,X12)=1,2,1)</f>
        <v>0</v>
      </c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</row>
    <row r="13" ht="14.25" customHeight="1">
      <c r="A13" s="41"/>
      <c r="B13" s="51" t="s">
        <v>11</v>
      </c>
      <c r="C13" s="90">
        <f>VLOOKUP($B13,Form_SuperClassico!$C$3:$E$23,2,FALSE)</f>
        <v>2</v>
      </c>
      <c r="D13" s="93" t="s">
        <v>98</v>
      </c>
      <c r="E13" s="90">
        <f>VLOOKUP($B13,Form_SuperClassico!$C$3:$E$23,3,FALSE)</f>
        <v>2</v>
      </c>
      <c r="F13" s="47" t="str">
        <f t="shared" si="1"/>
        <v>empate</v>
      </c>
      <c r="G13" s="48">
        <f>IF(C13=SC!C$25,IF(SC!E$25=E13,3.4,IF(F13=SC!F$25,1.7,0)),IF(F13=SC!F$25,1.7,0))*IF(COUNTIF($F$4:F$24,F13)=1,2,1)</f>
        <v>0</v>
      </c>
      <c r="H13" s="40"/>
      <c r="I13" s="90">
        <f>VLOOKUP($B13,Form_SuperClassico!$C$25:$E$45,2,FALSE)</f>
        <v>3</v>
      </c>
      <c r="J13" s="93" t="s">
        <v>98</v>
      </c>
      <c r="K13" s="90">
        <f>VLOOKUP($B13,Form_SuperClassico!$C$25:$E$45,3,FALSE)</f>
        <v>2</v>
      </c>
      <c r="L13" s="47" t="str">
        <f t="shared" si="2"/>
        <v>casa</v>
      </c>
      <c r="M13" s="48">
        <f>IF(I13=SC!I$25,IF(SC!K$25=K13,3.4,IF(L13=SC!L$25,1.7,0)),IF(L13=SC!L$25,1.7,0))*IF(COUNTIF(L$4:L$24,L13)=1,2,1)</f>
        <v>0</v>
      </c>
      <c r="N13" s="41"/>
      <c r="O13" s="90">
        <f>VLOOKUP($B13,Form_SuperClassico!$C$47:$G$67,2,FALSE)</f>
        <v>0</v>
      </c>
      <c r="P13" s="91" t="s">
        <v>98</v>
      </c>
      <c r="Q13" s="90">
        <f>VLOOKUP($B13,Form_SuperClassico!$C$47:$G$67,3,FALSE)</f>
        <v>0</v>
      </c>
      <c r="R13" s="47" t="str">
        <f t="shared" si="3"/>
        <v>empate</v>
      </c>
      <c r="S13" s="48">
        <f>IF(O13=SC!O$25,IF(SC!Q$25=Q13,3.4,IF(R13=SC!R$25,1.7,0)),IF(R13=SC!R$25,1.7,0))*IF(COUNTIF($R$4:R$24,R13)=1,2,1)</f>
        <v>0</v>
      </c>
      <c r="T13" s="41"/>
      <c r="U13" s="90">
        <f>VLOOKUP($B13,Form_SuperClassico!$C$47:$G$128,4,FALSE)</f>
        <v>1</v>
      </c>
      <c r="V13" s="91" t="s">
        <v>98</v>
      </c>
      <c r="W13" s="90">
        <f>VLOOKUP($B13,Form_SuperClassico!$C$47:$G$128,5,FALSE)</f>
        <v>0</v>
      </c>
      <c r="X13" s="47" t="str">
        <f t="shared" si="4"/>
        <v>casa</v>
      </c>
      <c r="Y13" s="48">
        <f>IF(U13=SC!U$25,IF(SC!W$25=W13,3.4,IF(X13=SC!X$25,1.7,0)),IF(X13=SC!X$25,1.7,0))*IF(COUNTIF(X$4:X$24,X13)=1,2,1)</f>
        <v>3.4</v>
      </c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</row>
    <row r="14" ht="14.25" customHeight="1">
      <c r="A14" s="41"/>
      <c r="B14" s="51" t="s">
        <v>12</v>
      </c>
      <c r="C14" s="90">
        <f>VLOOKUP($B14,Form_SuperClassico!$C$3:$E$23,2,FALSE)</f>
        <v>1</v>
      </c>
      <c r="D14" s="93" t="s">
        <v>98</v>
      </c>
      <c r="E14" s="90">
        <f>VLOOKUP($B14,Form_SuperClassico!$C$3:$E$23,3,FALSE)</f>
        <v>2</v>
      </c>
      <c r="F14" s="47" t="str">
        <f t="shared" si="1"/>
        <v>visita</v>
      </c>
      <c r="G14" s="48">
        <f>IF(C14=SC!C$25,IF(SC!E$25=E14,3.4,IF(F14=SC!F$25,1.7,0)),IF(F14=SC!F$25,1.7,0))*IF(COUNTIF($F$4:F$24,F14)=1,2,1)</f>
        <v>0</v>
      </c>
      <c r="H14" s="40"/>
      <c r="I14" s="90">
        <f>VLOOKUP($B14,Form_SuperClassico!$C$25:$E$45,2,FALSE)</f>
        <v>2</v>
      </c>
      <c r="J14" s="93" t="s">
        <v>98</v>
      </c>
      <c r="K14" s="90">
        <f>VLOOKUP($B14,Form_SuperClassico!$C$25:$E$45,3,FALSE)</f>
        <v>1</v>
      </c>
      <c r="L14" s="47" t="str">
        <f t="shared" si="2"/>
        <v>casa</v>
      </c>
      <c r="M14" s="48">
        <f>IF(I14=SC!I$25,IF(SC!K$25=K14,3.4,IF(L14=SC!L$25,1.7,0)),IF(L14=SC!L$25,1.7,0))*IF(COUNTIF(L$4:L$24,L14)=1,2,1)</f>
        <v>0</v>
      </c>
      <c r="N14" s="41"/>
      <c r="O14" s="90">
        <f>VLOOKUP($B14,Form_SuperClassico!$C$47:$G$67,2,FALSE)</f>
        <v>3</v>
      </c>
      <c r="P14" s="91" t="s">
        <v>98</v>
      </c>
      <c r="Q14" s="90">
        <f>VLOOKUP($B14,Form_SuperClassico!$C$47:$G$67,3,FALSE)</f>
        <v>1</v>
      </c>
      <c r="R14" s="47" t="str">
        <f t="shared" si="3"/>
        <v>casa</v>
      </c>
      <c r="S14" s="48">
        <f>IF(O14=SC!O$25,IF(SC!Q$25=Q14,3.4,IF(R14=SC!R$25,1.7,0)),IF(R14=SC!R$25,1.7,0))*IF(COUNTIF($R$4:R$24,R14)=1,2,1)</f>
        <v>0</v>
      </c>
      <c r="T14" s="41"/>
      <c r="U14" s="90">
        <f>VLOOKUP($B14,Form_SuperClassico!$C$47:$G$128,4,FALSE)</f>
        <v>1</v>
      </c>
      <c r="V14" s="91" t="s">
        <v>98</v>
      </c>
      <c r="W14" s="90">
        <f>VLOOKUP($B14,Form_SuperClassico!$C$47:$G$128,5,FALSE)</f>
        <v>1</v>
      </c>
      <c r="X14" s="47" t="str">
        <f t="shared" si="4"/>
        <v>empate</v>
      </c>
      <c r="Y14" s="48">
        <f>IF(U14=SC!U$25,IF(SC!W$25=W14,3.4,IF(X14=SC!X$25,1.7,0)),IF(X14=SC!X$25,1.7,0))*IF(COUNTIF(X$4:X$24,X14)=1,2,1)</f>
        <v>0</v>
      </c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</row>
    <row r="15" ht="14.25" customHeight="1">
      <c r="A15" s="41"/>
      <c r="B15" s="51" t="s">
        <v>13</v>
      </c>
      <c r="C15" s="90">
        <f>VLOOKUP($B15,Form_SuperClassico!$C$3:$E$23,2,FALSE)</f>
        <v>2</v>
      </c>
      <c r="D15" s="92" t="s">
        <v>98</v>
      </c>
      <c r="E15" s="90">
        <f>VLOOKUP($B15,Form_SuperClassico!$C$3:$E$23,3,FALSE)</f>
        <v>1</v>
      </c>
      <c r="F15" s="47" t="str">
        <f t="shared" si="1"/>
        <v>casa</v>
      </c>
      <c r="G15" s="48">
        <f>IF(C15=SC!C$25,IF(SC!E$25=E15,3.4,IF(F15=SC!F$25,1.7,0)),IF(F15=SC!F$25,1.7,0))*IF(COUNTIF($F$4:F$24,F15)=1,2,1)</f>
        <v>1.7</v>
      </c>
      <c r="H15" s="40"/>
      <c r="I15" s="90">
        <f>VLOOKUP($B15,Form_SuperClassico!$C$25:$E$45,2,FALSE)</f>
        <v>2</v>
      </c>
      <c r="J15" s="92" t="s">
        <v>98</v>
      </c>
      <c r="K15" s="90">
        <f>VLOOKUP($B15,Form_SuperClassico!$C$25:$E$45,3,FALSE)</f>
        <v>0</v>
      </c>
      <c r="L15" s="47" t="str">
        <f t="shared" si="2"/>
        <v>casa</v>
      </c>
      <c r="M15" s="48">
        <f>IF(I15=SC!I$25,IF(SC!K$25=K15,3.4,IF(L15=SC!L$25,1.7,0)),IF(L15=SC!L$25,1.7,0))*IF(COUNTIF(L$4:L$24,L15)=1,2,1)</f>
        <v>0</v>
      </c>
      <c r="N15" s="41"/>
      <c r="O15" s="90">
        <f>VLOOKUP($B15,Form_SuperClassico!$C$47:$G$67,2,FALSE)</f>
        <v>2</v>
      </c>
      <c r="P15" s="91" t="s">
        <v>98</v>
      </c>
      <c r="Q15" s="90">
        <f>VLOOKUP($B15,Form_SuperClassico!$C$47:$G$67,3,FALSE)</f>
        <v>0</v>
      </c>
      <c r="R15" s="47" t="str">
        <f t="shared" si="3"/>
        <v>casa</v>
      </c>
      <c r="S15" s="48">
        <f>IF(O15=SC!O$25,IF(SC!Q$25=Q15,3.4,IF(R15=SC!R$25,1.7,0)),IF(R15=SC!R$25,1.7,0))*IF(COUNTIF($R$4:R$24,R15)=1,2,1)</f>
        <v>0</v>
      </c>
      <c r="T15" s="41"/>
      <c r="U15" s="90">
        <f>VLOOKUP($B15,Form_SuperClassico!$C$47:$G$128,4,FALSE)</f>
        <v>1</v>
      </c>
      <c r="V15" s="91" t="s">
        <v>98</v>
      </c>
      <c r="W15" s="90">
        <f>VLOOKUP($B15,Form_SuperClassico!$C$47:$G$128,5,FALSE)</f>
        <v>1</v>
      </c>
      <c r="X15" s="47" t="str">
        <f t="shared" si="4"/>
        <v>empate</v>
      </c>
      <c r="Y15" s="48">
        <f>IF(U15=SC!U$25,IF(SC!W$25=W15,3.4,IF(X15=SC!X$25,1.7,0)),IF(X15=SC!X$25,1.7,0))*IF(COUNTIF(X$4:X$24,X15)=1,2,1)</f>
        <v>0</v>
      </c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</row>
    <row r="16" ht="14.25" customHeight="1">
      <c r="A16" s="41"/>
      <c r="B16" s="51" t="s">
        <v>14</v>
      </c>
      <c r="C16" s="90">
        <f>VLOOKUP($B16,Form_SuperClassico!$C$3:$E$23,2,FALSE)</f>
        <v>2</v>
      </c>
      <c r="D16" s="92" t="s">
        <v>98</v>
      </c>
      <c r="E16" s="90">
        <f>VLOOKUP($B16,Form_SuperClassico!$C$3:$E$23,3,FALSE)</f>
        <v>1</v>
      </c>
      <c r="F16" s="47" t="str">
        <f t="shared" si="1"/>
        <v>casa</v>
      </c>
      <c r="G16" s="48">
        <f>IF(C16=SC!C$25,IF(SC!E$25=E16,3.4,IF(F16=SC!F$25,1.7,0)),IF(F16=SC!F$25,1.7,0))*IF(COUNTIF($F$4:F$24,F16)=1,2,1)</f>
        <v>1.7</v>
      </c>
      <c r="H16" s="40"/>
      <c r="I16" s="90">
        <f>VLOOKUP($B16,Form_SuperClassico!$C$25:$E$45,2,FALSE)</f>
        <v>2</v>
      </c>
      <c r="J16" s="92" t="s">
        <v>98</v>
      </c>
      <c r="K16" s="90">
        <f>VLOOKUP($B16,Form_SuperClassico!$C$25:$E$45,3,FALSE)</f>
        <v>0</v>
      </c>
      <c r="L16" s="47" t="str">
        <f t="shared" si="2"/>
        <v>casa</v>
      </c>
      <c r="M16" s="48">
        <f>IF(I16=SC!I$25,IF(SC!K$25=K16,3.4,IF(L16=SC!L$25,1.7,0)),IF(L16=SC!L$25,1.7,0))*IF(COUNTIF(L$4:L$24,L16)=1,2,1)</f>
        <v>0</v>
      </c>
      <c r="N16" s="41"/>
      <c r="O16" s="90">
        <f>VLOOKUP($B16,Form_SuperClassico!$C$47:$G$67,2,FALSE)</f>
        <v>1</v>
      </c>
      <c r="P16" s="91" t="s">
        <v>98</v>
      </c>
      <c r="Q16" s="90">
        <f>VLOOKUP($B16,Form_SuperClassico!$C$47:$G$67,3,FALSE)</f>
        <v>1</v>
      </c>
      <c r="R16" s="47" t="str">
        <f t="shared" si="3"/>
        <v>empate</v>
      </c>
      <c r="S16" s="48">
        <f>IF(O16=SC!O$25,IF(SC!Q$25=Q16,3.4,IF(R16=SC!R$25,1.7,0)),IF(R16=SC!R$25,1.7,0))*IF(COUNTIF($R$4:R$24,R16)=1,2,1)</f>
        <v>0</v>
      </c>
      <c r="T16" s="41"/>
      <c r="U16" s="90">
        <f>VLOOKUP($B16,Form_SuperClassico!$C$47:$G$128,4,FALSE)</f>
        <v>2</v>
      </c>
      <c r="V16" s="91" t="s">
        <v>98</v>
      </c>
      <c r="W16" s="90">
        <f>VLOOKUP($B16,Form_SuperClassico!$C$47:$G$128,5,FALSE)</f>
        <v>1</v>
      </c>
      <c r="X16" s="47" t="str">
        <f t="shared" si="4"/>
        <v>casa</v>
      </c>
      <c r="Y16" s="48">
        <f>IF(U16=SC!U$25,IF(SC!W$25=W16,3.4,IF(X16=SC!X$25,1.7,0)),IF(X16=SC!X$25,1.7,0))*IF(COUNTIF(X$4:X$24,X16)=1,2,1)</f>
        <v>1.7</v>
      </c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</row>
    <row r="17" ht="14.25" customHeight="1">
      <c r="A17" s="41"/>
      <c r="B17" s="51" t="s">
        <v>15</v>
      </c>
      <c r="C17" s="90">
        <f>VLOOKUP($B17,Form_SuperClassico!$C$3:$E$23,2,FALSE)</f>
        <v>1</v>
      </c>
      <c r="D17" s="92" t="s">
        <v>98</v>
      </c>
      <c r="E17" s="90">
        <f>VLOOKUP($B17,Form_SuperClassico!$C$3:$E$23,3,FALSE)</f>
        <v>2</v>
      </c>
      <c r="F17" s="47" t="str">
        <f t="shared" si="1"/>
        <v>visita</v>
      </c>
      <c r="G17" s="48">
        <f>IF(C17=SC!C$25,IF(SC!E$25=E17,3.4,IF(F17=SC!F$25,1.7,0)),IF(F17=SC!F$25,1.7,0))*IF(COUNTIF($F$4:F$24,F17)=1,2,1)</f>
        <v>0</v>
      </c>
      <c r="H17" s="40"/>
      <c r="I17" s="90">
        <f>VLOOKUP($B17,Form_SuperClassico!$C$25:$E$45,2,FALSE)</f>
        <v>3</v>
      </c>
      <c r="J17" s="92" t="s">
        <v>98</v>
      </c>
      <c r="K17" s="90">
        <f>VLOOKUP($B17,Form_SuperClassico!$C$25:$E$45,3,FALSE)</f>
        <v>1</v>
      </c>
      <c r="L17" s="47" t="str">
        <f t="shared" si="2"/>
        <v>casa</v>
      </c>
      <c r="M17" s="48">
        <f>IF(I17=SC!I$25,IF(SC!K$25=K17,3.4,IF(L17=SC!L$25,1.7,0)),IF(L17=SC!L$25,1.7,0))*IF(COUNTIF(L$4:L$24,L17)=1,2,1)</f>
        <v>0</v>
      </c>
      <c r="N17" s="41"/>
      <c r="O17" s="90">
        <f>VLOOKUP($B17,Form_SuperClassico!$C$47:$G$67,2,FALSE)</f>
        <v>3</v>
      </c>
      <c r="P17" s="91" t="s">
        <v>98</v>
      </c>
      <c r="Q17" s="90">
        <f>VLOOKUP($B17,Form_SuperClassico!$C$47:$G$67,3,FALSE)</f>
        <v>1</v>
      </c>
      <c r="R17" s="47" t="str">
        <f t="shared" si="3"/>
        <v>casa</v>
      </c>
      <c r="S17" s="48">
        <f>IF(O17=SC!O$25,IF(SC!Q$25=Q17,3.4,IF(R17=SC!R$25,1.7,0)),IF(R17=SC!R$25,1.7,0))*IF(COUNTIF($R$4:R$24,R17)=1,2,1)</f>
        <v>0</v>
      </c>
      <c r="T17" s="41"/>
      <c r="U17" s="90">
        <f>VLOOKUP($B17,Form_SuperClassico!$C$47:$G$128,4,FALSE)</f>
        <v>2</v>
      </c>
      <c r="V17" s="91" t="s">
        <v>98</v>
      </c>
      <c r="W17" s="90">
        <f>VLOOKUP($B17,Form_SuperClassico!$C$47:$G$128,5,FALSE)</f>
        <v>3</v>
      </c>
      <c r="X17" s="47" t="str">
        <f t="shared" si="4"/>
        <v>visita</v>
      </c>
      <c r="Y17" s="48">
        <f>IF(U17=SC!U$25,IF(SC!W$25=W17,3.4,IF(X17=SC!X$25,1.7,0)),IF(X17=SC!X$25,1.7,0))*IF(COUNTIF(X$4:X$24,X17)=1,2,1)</f>
        <v>0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</row>
    <row r="18" ht="14.25" customHeight="1">
      <c r="A18" s="41"/>
      <c r="B18" s="51" t="s">
        <v>16</v>
      </c>
      <c r="C18" s="90">
        <f>VLOOKUP($B18,Form_SuperClassico!$C$3:$E$23,2,FALSE)</f>
        <v>1</v>
      </c>
      <c r="D18" s="92" t="s">
        <v>98</v>
      </c>
      <c r="E18" s="90">
        <f>VLOOKUP($B18,Form_SuperClassico!$C$3:$E$23,3,FALSE)</f>
        <v>3</v>
      </c>
      <c r="F18" s="47" t="str">
        <f t="shared" si="1"/>
        <v>visita</v>
      </c>
      <c r="G18" s="48">
        <f>IF(C18=SC!C$25,IF(SC!E$25=E18,3.4,IF(F18=SC!F$25,1.7,0)),IF(F18=SC!F$25,1.7,0))*IF(COUNTIF($F$4:F$24,F18)=1,2,1)</f>
        <v>0</v>
      </c>
      <c r="H18" s="40"/>
      <c r="I18" s="90">
        <f>VLOOKUP($B18,Form_SuperClassico!$C$25:$E$45,2,FALSE)</f>
        <v>3</v>
      </c>
      <c r="J18" s="92" t="s">
        <v>98</v>
      </c>
      <c r="K18" s="90">
        <f>VLOOKUP($B18,Form_SuperClassico!$C$25:$E$45,3,FALSE)</f>
        <v>1</v>
      </c>
      <c r="L18" s="47" t="str">
        <f t="shared" si="2"/>
        <v>casa</v>
      </c>
      <c r="M18" s="48">
        <f>IF(I18=SC!I$25,IF(SC!K$25=K18,3.4,IF(L18=SC!L$25,1.7,0)),IF(L18=SC!L$25,1.7,0))*IF(COUNTIF(L$4:L$24,L18)=1,2,1)</f>
        <v>0</v>
      </c>
      <c r="N18" s="41"/>
      <c r="O18" s="90">
        <f>VLOOKUP($B18,Form_SuperClassico!$C$47:$G$67,2,FALSE)</f>
        <v>1</v>
      </c>
      <c r="P18" s="91" t="s">
        <v>98</v>
      </c>
      <c r="Q18" s="90">
        <f>VLOOKUP($B18,Form_SuperClassico!$C$47:$G$67,3,FALSE)</f>
        <v>2</v>
      </c>
      <c r="R18" s="47" t="str">
        <f t="shared" si="3"/>
        <v>visita</v>
      </c>
      <c r="S18" s="48">
        <f>IF(O18=SC!O$25,IF(SC!Q$25=Q18,3.4,IF(R18=SC!R$25,1.7,0)),IF(R18=SC!R$25,1.7,0))*IF(COUNTIF($R$4:R$24,R18)=1,2,1)</f>
        <v>3.4</v>
      </c>
      <c r="T18" s="41"/>
      <c r="U18" s="90">
        <f>VLOOKUP($B18,Form_SuperClassico!$C$47:$G$128,4,FALSE)</f>
        <v>3</v>
      </c>
      <c r="V18" s="91" t="s">
        <v>98</v>
      </c>
      <c r="W18" s="90">
        <f>VLOOKUP($B18,Form_SuperClassico!$C$47:$G$128,5,FALSE)</f>
        <v>2</v>
      </c>
      <c r="X18" s="47" t="str">
        <f t="shared" si="4"/>
        <v>casa</v>
      </c>
      <c r="Y18" s="48">
        <f>IF(U18=SC!U$25,IF(SC!W$25=W18,3.4,IF(X18=SC!X$25,1.7,0)),IF(X18=SC!X$25,1.7,0))*IF(COUNTIF(X$4:X$24,X18)=1,2,1)</f>
        <v>1.7</v>
      </c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</row>
    <row r="19" ht="14.25" customHeight="1">
      <c r="A19" s="41"/>
      <c r="B19" s="51" t="s">
        <v>17</v>
      </c>
      <c r="C19" s="90">
        <f>VLOOKUP($B19,Form_SuperClassico!$C$3:$E$23,2,FALSE)</f>
        <v>3</v>
      </c>
      <c r="D19" s="92" t="s">
        <v>98</v>
      </c>
      <c r="E19" s="90">
        <f>VLOOKUP($B19,Form_SuperClassico!$C$3:$E$23,3,FALSE)</f>
        <v>1</v>
      </c>
      <c r="F19" s="47" t="str">
        <f t="shared" si="1"/>
        <v>casa</v>
      </c>
      <c r="G19" s="48">
        <f>IF(C19=SC!C$25,IF(SC!E$25=E19,3.4,IF(F19=SC!F$25,1.7,0)),IF(F19=SC!F$25,1.7,0))*IF(COUNTIF($F$4:F$24,F19)=1,2,1)</f>
        <v>3.4</v>
      </c>
      <c r="H19" s="40"/>
      <c r="I19" s="90">
        <f>VLOOKUP($B19,Form_SuperClassico!$C$25:$E$45,2,FALSE)</f>
        <v>3</v>
      </c>
      <c r="J19" s="92" t="s">
        <v>98</v>
      </c>
      <c r="K19" s="90">
        <f>VLOOKUP($B19,Form_SuperClassico!$C$25:$E$45,3,FALSE)</f>
        <v>3</v>
      </c>
      <c r="L19" s="47" t="str">
        <f t="shared" si="2"/>
        <v>empate</v>
      </c>
      <c r="M19" s="48">
        <f>IF(I19=SC!I$25,IF(SC!K$25=K19,3.4,IF(L19=SC!L$25,1.7,0)),IF(L19=SC!L$25,1.7,0))*IF(COUNTIF(L$4:L$24,L19)=1,2,1)</f>
        <v>0</v>
      </c>
      <c r="N19" s="41"/>
      <c r="O19" s="90">
        <f>VLOOKUP($B19,Form_SuperClassico!$C$47:$G$67,2,FALSE)</f>
        <v>3</v>
      </c>
      <c r="P19" s="91" t="s">
        <v>98</v>
      </c>
      <c r="Q19" s="90">
        <f>VLOOKUP($B19,Form_SuperClassico!$C$47:$G$67,3,FALSE)</f>
        <v>1</v>
      </c>
      <c r="R19" s="47" t="str">
        <f t="shared" si="3"/>
        <v>casa</v>
      </c>
      <c r="S19" s="48">
        <f>IF(O19=SC!O$25,IF(SC!Q$25=Q19,3.4,IF(R19=SC!R$25,1.7,0)),IF(R19=SC!R$25,1.7,0))*IF(COUNTIF($R$4:R$24,R19)=1,2,1)</f>
        <v>0</v>
      </c>
      <c r="T19" s="41"/>
      <c r="U19" s="90">
        <f>VLOOKUP($B19,Form_SuperClassico!$C$47:$G$128,4,FALSE)</f>
        <v>2</v>
      </c>
      <c r="V19" s="91" t="s">
        <v>98</v>
      </c>
      <c r="W19" s="90">
        <f>VLOOKUP($B19,Form_SuperClassico!$C$47:$G$128,5,FALSE)</f>
        <v>0</v>
      </c>
      <c r="X19" s="47" t="str">
        <f t="shared" si="4"/>
        <v>casa</v>
      </c>
      <c r="Y19" s="48">
        <f>IF(U19=SC!U$25,IF(SC!W$25=W19,3.4,IF(X19=SC!X$25,1.7,0)),IF(X19=SC!X$25,1.7,0))*IF(COUNTIF(X$4:X$24,X19)=1,2,1)</f>
        <v>1.7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</row>
    <row r="20" ht="14.25" customHeight="1">
      <c r="A20" s="41"/>
      <c r="B20" s="51" t="s">
        <v>18</v>
      </c>
      <c r="C20" s="90">
        <f>VLOOKUP($B20,Form_SuperClassico!$C$3:$E$23,2,FALSE)</f>
        <v>2</v>
      </c>
      <c r="D20" s="92" t="s">
        <v>98</v>
      </c>
      <c r="E20" s="90">
        <f>VLOOKUP($B20,Form_SuperClassico!$C$3:$E$23,3,FALSE)</f>
        <v>2</v>
      </c>
      <c r="F20" s="47" t="str">
        <f t="shared" si="1"/>
        <v>empate</v>
      </c>
      <c r="G20" s="48">
        <f>IF(C20=SC!C$25,IF(SC!E$25=E20,3.4,IF(F20=SC!F$25,1.7,0)),IF(F20=SC!F$25,1.7,0))*IF(COUNTIF($F$4:F$24,F20)=1,2,1)</f>
        <v>0</v>
      </c>
      <c r="H20" s="40"/>
      <c r="I20" s="90">
        <f>VLOOKUP($B20,Form_SuperClassico!$C$25:$E$45,2,FALSE)</f>
        <v>2</v>
      </c>
      <c r="J20" s="92" t="s">
        <v>98</v>
      </c>
      <c r="K20" s="90">
        <f>VLOOKUP($B20,Form_SuperClassico!$C$25:$E$45,3,FALSE)</f>
        <v>1</v>
      </c>
      <c r="L20" s="47" t="str">
        <f t="shared" si="2"/>
        <v>casa</v>
      </c>
      <c r="M20" s="48">
        <f>IF(I20=SC!I$25,IF(SC!K$25=K20,3.4,IF(L20=SC!L$25,1.7,0)),IF(L20=SC!L$25,1.7,0))*IF(COUNTIF(L$4:L$24,L20)=1,2,1)</f>
        <v>0</v>
      </c>
      <c r="N20" s="41"/>
      <c r="O20" s="90">
        <f>VLOOKUP($B20,Form_SuperClassico!$C$47:$G$67,2,FALSE)</f>
        <v>2</v>
      </c>
      <c r="P20" s="91" t="s">
        <v>98</v>
      </c>
      <c r="Q20" s="90">
        <f>VLOOKUP($B20,Form_SuperClassico!$C$47:$G$67,3,FALSE)</f>
        <v>1</v>
      </c>
      <c r="R20" s="47" t="str">
        <f t="shared" si="3"/>
        <v>casa</v>
      </c>
      <c r="S20" s="48">
        <f>IF(O20=SC!O$25,IF(SC!Q$25=Q20,3.4,IF(R20=SC!R$25,1.7,0)),IF(R20=SC!R$25,1.7,0))*IF(COUNTIF($R$4:R$24,R20)=1,2,1)</f>
        <v>0</v>
      </c>
      <c r="T20" s="41"/>
      <c r="U20" s="90">
        <f>VLOOKUP($B20,Form_SuperClassico!$C$47:$G$128,4,FALSE)</f>
        <v>2</v>
      </c>
      <c r="V20" s="91" t="s">
        <v>98</v>
      </c>
      <c r="W20" s="90">
        <f>VLOOKUP($B20,Form_SuperClassico!$C$47:$G$128,5,FALSE)</f>
        <v>0</v>
      </c>
      <c r="X20" s="47" t="str">
        <f t="shared" si="4"/>
        <v>casa</v>
      </c>
      <c r="Y20" s="48">
        <f>IF(U20=SC!U$25,IF(SC!W$25=W20,3.4,IF(X20=SC!X$25,1.7,0)),IF(X20=SC!X$25,1.7,0))*IF(COUNTIF(X$4:X$24,X20)=1,2,1)</f>
        <v>1.7</v>
      </c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</row>
    <row r="21" ht="14.25" customHeight="1">
      <c r="A21" s="41"/>
      <c r="B21" s="51" t="s">
        <v>19</v>
      </c>
      <c r="C21" s="90">
        <f>VLOOKUP($B21,Form_SuperClassico!$C$3:$E$23,2,FALSE)</f>
        <v>1</v>
      </c>
      <c r="D21" s="92" t="s">
        <v>98</v>
      </c>
      <c r="E21" s="90">
        <f>VLOOKUP($B21,Form_SuperClassico!$C$3:$E$23,3,FALSE)</f>
        <v>1</v>
      </c>
      <c r="F21" s="47" t="str">
        <f t="shared" si="1"/>
        <v>empate</v>
      </c>
      <c r="G21" s="48">
        <f>IF(C21=SC!C$25,IF(SC!E$25=E21,3.4,IF(F21=SC!F$25,1.7,0)),IF(F21=SC!F$25,1.7,0))*IF(COUNTIF($F$4:F$24,F21)=1,2,1)</f>
        <v>0</v>
      </c>
      <c r="H21" s="40"/>
      <c r="I21" s="90">
        <f>VLOOKUP($B21,Form_SuperClassico!$C$25:$E$45,2,FALSE)</f>
        <v>2</v>
      </c>
      <c r="J21" s="92" t="s">
        <v>98</v>
      </c>
      <c r="K21" s="90">
        <f>VLOOKUP($B21,Form_SuperClassico!$C$25:$E$45,3,FALSE)</f>
        <v>1</v>
      </c>
      <c r="L21" s="47" t="str">
        <f t="shared" si="2"/>
        <v>casa</v>
      </c>
      <c r="M21" s="48">
        <f>IF(I21=SC!I$25,IF(SC!K$25=K21,3.4,IF(L21=SC!L$25,1.7,0)),IF(L21=SC!L$25,1.7,0))*IF(COUNTIF(L$4:L$24,L21)=1,2,1)</f>
        <v>0</v>
      </c>
      <c r="N21" s="41"/>
      <c r="O21" s="90">
        <f>VLOOKUP($B21,Form_SuperClassico!$C$47:$G$67,2,FALSE)</f>
        <v>1</v>
      </c>
      <c r="P21" s="91" t="s">
        <v>98</v>
      </c>
      <c r="Q21" s="90">
        <f>VLOOKUP($B21,Form_SuperClassico!$C$47:$G$67,3,FALSE)</f>
        <v>3</v>
      </c>
      <c r="R21" s="47" t="str">
        <f t="shared" si="3"/>
        <v>visita</v>
      </c>
      <c r="S21" s="48">
        <f>IF(O21=SC!O$25,IF(SC!Q$25=Q21,3.4,IF(R21=SC!R$25,1.7,0)),IF(R21=SC!R$25,1.7,0))*IF(COUNTIF($R$4:R$24,R21)=1,2,1)</f>
        <v>1.7</v>
      </c>
      <c r="T21" s="41"/>
      <c r="U21" s="90">
        <f>VLOOKUP($B21,Form_SuperClassico!$C$47:$G$128,4,FALSE)</f>
        <v>1</v>
      </c>
      <c r="V21" s="91" t="s">
        <v>98</v>
      </c>
      <c r="W21" s="90">
        <f>VLOOKUP($B21,Form_SuperClassico!$C$47:$G$128,5,FALSE)</f>
        <v>1</v>
      </c>
      <c r="X21" s="47" t="str">
        <f t="shared" si="4"/>
        <v>empate</v>
      </c>
      <c r="Y21" s="48">
        <f>IF(U21=SC!U$25,IF(SC!W$25=W21,3.4,IF(X21=SC!X$25,1.7,0)),IF(X21=SC!X$25,1.7,0))*IF(COUNTIF(X$4:X$24,X21)=1,2,1)</f>
        <v>0</v>
      </c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</row>
    <row r="22" ht="14.25" customHeight="1">
      <c r="A22" s="41"/>
      <c r="B22" s="52" t="s">
        <v>20</v>
      </c>
      <c r="C22" s="90">
        <f>VLOOKUP($B22,Form_SuperClassico!$C$3:$E$23,2,FALSE)</f>
        <v>1</v>
      </c>
      <c r="D22" s="92" t="s">
        <v>98</v>
      </c>
      <c r="E22" s="90">
        <f>VLOOKUP($B22,Form_SuperClassico!$C$3:$E$23,3,FALSE)</f>
        <v>2</v>
      </c>
      <c r="F22" s="47" t="str">
        <f t="shared" si="1"/>
        <v>visita</v>
      </c>
      <c r="G22" s="48">
        <f>IF(C22=SC!C$25,IF(SC!E$25=E22,3.4,IF(F22=SC!F$25,1.7,0)),IF(F22=SC!F$25,1.7,0))*IF(COUNTIF($F$4:F$24,F22)=1,2,1)</f>
        <v>0</v>
      </c>
      <c r="H22" s="40"/>
      <c r="I22" s="90">
        <f>VLOOKUP($B22,Form_SuperClassico!$C$25:$E$45,2,FALSE)</f>
        <v>1</v>
      </c>
      <c r="J22" s="92" t="s">
        <v>98</v>
      </c>
      <c r="K22" s="90">
        <f>VLOOKUP($B22,Form_SuperClassico!$C$25:$E$45,3,FALSE)</f>
        <v>1</v>
      </c>
      <c r="L22" s="47" t="str">
        <f t="shared" si="2"/>
        <v>empate</v>
      </c>
      <c r="M22" s="48">
        <f>IF(I22=SC!I$25,IF(SC!K$25=K22,3.4,IF(L22=SC!L$25,1.7,0)),IF(L22=SC!L$25,1.7,0))*IF(COUNTIF(L$4:L$24,L22)=1,2,1)</f>
        <v>0</v>
      </c>
      <c r="N22" s="41"/>
      <c r="O22" s="90">
        <f>VLOOKUP($B22,Form_SuperClassico!$C$47:$G$67,2,FALSE)</f>
        <v>1</v>
      </c>
      <c r="P22" s="91" t="s">
        <v>98</v>
      </c>
      <c r="Q22" s="90">
        <f>VLOOKUP($B22,Form_SuperClassico!$C$47:$G$67,3,FALSE)</f>
        <v>0</v>
      </c>
      <c r="R22" s="47" t="str">
        <f t="shared" si="3"/>
        <v>casa</v>
      </c>
      <c r="S22" s="48">
        <f>IF(O22=SC!O$25,IF(SC!Q$25=Q22,3.4,IF(R22=SC!R$25,1.7,0)),IF(R22=SC!R$25,1.7,0))*IF(COUNTIF($R$4:R$24,R22)=1,2,1)</f>
        <v>0</v>
      </c>
      <c r="T22" s="41"/>
      <c r="U22" s="90">
        <f>VLOOKUP($B22,Form_SuperClassico!$C$47:$G$128,4,FALSE)</f>
        <v>1</v>
      </c>
      <c r="V22" s="91" t="s">
        <v>98</v>
      </c>
      <c r="W22" s="90">
        <f>VLOOKUP($B22,Form_SuperClassico!$C$47:$G$128,5,FALSE)</f>
        <v>1</v>
      </c>
      <c r="X22" s="47" t="str">
        <f t="shared" si="4"/>
        <v>empate</v>
      </c>
      <c r="Y22" s="48">
        <f>IF(U22=SC!U$25,IF(SC!W$25=W22,3.4,IF(X22=SC!X$25,1.7,0)),IF(X22=SC!X$25,1.7,0))*IF(COUNTIF(X$4:X$24,X22)=1,2,1)</f>
        <v>0</v>
      </c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</row>
    <row r="23" ht="14.25" customHeight="1">
      <c r="A23" s="41"/>
      <c r="B23" s="52" t="s">
        <v>21</v>
      </c>
      <c r="C23" s="90">
        <f>VLOOKUP($B23,Form_SuperClassico!$C$3:$E$23,2,FALSE)</f>
        <v>1</v>
      </c>
      <c r="D23" s="92" t="s">
        <v>98</v>
      </c>
      <c r="E23" s="90">
        <f>VLOOKUP($B23,Form_SuperClassico!$C$3:$E$23,3,FALSE)</f>
        <v>3</v>
      </c>
      <c r="F23" s="47" t="str">
        <f t="shared" si="1"/>
        <v>visita</v>
      </c>
      <c r="G23" s="48">
        <f>IF(C23=SC!C$25,IF(SC!E$25=E23,3.4,IF(F23=SC!F$25,1.7,0)),IF(F23=SC!F$25,1.7,0))*IF(COUNTIF($F$4:F$24,F23)=1,2,1)</f>
        <v>0</v>
      </c>
      <c r="H23" s="40"/>
      <c r="I23" s="90">
        <f>VLOOKUP($B23,Form_SuperClassico!$C$25:$E$45,2,FALSE)</f>
        <v>1</v>
      </c>
      <c r="J23" s="92" t="s">
        <v>98</v>
      </c>
      <c r="K23" s="90">
        <f>VLOOKUP($B23,Form_SuperClassico!$C$25:$E$45,3,FALSE)</f>
        <v>3</v>
      </c>
      <c r="L23" s="47" t="str">
        <f t="shared" si="2"/>
        <v>visita</v>
      </c>
      <c r="M23" s="48">
        <f>IF(I23=SC!I$25,IF(SC!K$25=K23,3.4,IF(L23=SC!L$25,1.7,0)),IF(L23=SC!L$25,1.7,0))*IF(COUNTIF(L$4:L$24,L23)=1,2,1)</f>
        <v>1.7</v>
      </c>
      <c r="N23" s="41"/>
      <c r="O23" s="90">
        <f>VLOOKUP($B23,Form_SuperClassico!$C$47:$G$67,2,FALSE)</f>
        <v>2</v>
      </c>
      <c r="P23" s="91" t="s">
        <v>98</v>
      </c>
      <c r="Q23" s="90">
        <f>VLOOKUP($B23,Form_SuperClassico!$C$47:$G$67,3,FALSE)</f>
        <v>1</v>
      </c>
      <c r="R23" s="47" t="str">
        <f t="shared" si="3"/>
        <v>casa</v>
      </c>
      <c r="S23" s="48">
        <f>IF(O23=SC!O$25,IF(SC!Q$25=Q23,3.4,IF(R23=SC!R$25,1.7,0)),IF(R23=SC!R$25,1.7,0))*IF(COUNTIF($R$4:R$24,R23)=1,2,1)</f>
        <v>0</v>
      </c>
      <c r="T23" s="41"/>
      <c r="U23" s="90">
        <f>VLOOKUP($B23,Form_SuperClassico!$C$47:$G$128,4,FALSE)</f>
        <v>3</v>
      </c>
      <c r="V23" s="91" t="s">
        <v>98</v>
      </c>
      <c r="W23" s="90">
        <f>VLOOKUP($B23,Form_SuperClassico!$C$47:$G$128,5,FALSE)</f>
        <v>1</v>
      </c>
      <c r="X23" s="47" t="str">
        <f t="shared" si="4"/>
        <v>casa</v>
      </c>
      <c r="Y23" s="48">
        <f>IF(U23=SC!U$25,IF(SC!W$25=W23,3.4,IF(X23=SC!X$25,1.7,0)),IF(X23=SC!X$25,1.7,0))*IF(COUNTIF(X$4:X$24,X23)=1,2,1)</f>
        <v>1.7</v>
      </c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</row>
    <row r="24" ht="14.25" customHeight="1">
      <c r="A24" s="41"/>
      <c r="B24" s="52" t="s">
        <v>22</v>
      </c>
      <c r="C24" s="90">
        <f>VLOOKUP($B24,Form_SuperClassico!$C$3:$E$23,2,FALSE)</f>
        <v>2</v>
      </c>
      <c r="D24" s="92" t="s">
        <v>98</v>
      </c>
      <c r="E24" s="90">
        <f>VLOOKUP($B24,Form_SuperClassico!$C$3:$E$23,3,FALSE)</f>
        <v>1</v>
      </c>
      <c r="F24" s="47" t="str">
        <f t="shared" si="1"/>
        <v>casa</v>
      </c>
      <c r="G24" s="48">
        <f>IF(C24=SC!C$25,IF(SC!E$25=E24,3.4,IF(F24=SC!F$25,1.7,0)),IF(F24=SC!F$25,1.7,0))*IF(COUNTIF($F$4:F$24,F24)=1,2,1)</f>
        <v>1.7</v>
      </c>
      <c r="H24" s="40"/>
      <c r="I24" s="90">
        <f>VLOOKUP($B24,Form_SuperClassico!$C$25:$E$45,2,FALSE)</f>
        <v>2</v>
      </c>
      <c r="J24" s="92" t="s">
        <v>98</v>
      </c>
      <c r="K24" s="90">
        <f>VLOOKUP($B24,Form_SuperClassico!$C$25:$E$45,3,FALSE)</f>
        <v>1</v>
      </c>
      <c r="L24" s="47" t="str">
        <f t="shared" si="2"/>
        <v>casa</v>
      </c>
      <c r="M24" s="48">
        <f>IF(I24=SC!I$25,IF(SC!K$25=K24,3.4,IF(L24=SC!L$25,1.7,0)),IF(L24=SC!L$25,1.7,0))*IF(COUNTIF(L$4:L$24,L24)=1,2,1)</f>
        <v>0</v>
      </c>
      <c r="N24" s="41"/>
      <c r="O24" s="90">
        <f>VLOOKUP($B24,Form_SuperClassico!$C$47:$G$67,2,FALSE)</f>
        <v>2</v>
      </c>
      <c r="P24" s="91" t="s">
        <v>98</v>
      </c>
      <c r="Q24" s="90">
        <f>VLOOKUP($B24,Form_SuperClassico!$C$47:$G$67,3,FALSE)</f>
        <v>1</v>
      </c>
      <c r="R24" s="47" t="str">
        <f t="shared" si="3"/>
        <v>casa</v>
      </c>
      <c r="S24" s="48">
        <f>IF(O24=SC!O$25,IF(SC!Q$25=Q24,3.4,IF(R24=SC!R$25,1.7,0)),IF(R24=SC!R$25,1.7,0))*IF(COUNTIF($R$4:R$24,R24)=1,2,1)</f>
        <v>0</v>
      </c>
      <c r="T24" s="41"/>
      <c r="U24" s="90">
        <f>VLOOKUP($B24,Form_SuperClassico!$C$47:$G$128,4,FALSE)</f>
        <v>2</v>
      </c>
      <c r="V24" s="91" t="s">
        <v>98</v>
      </c>
      <c r="W24" s="90">
        <f>VLOOKUP($B24,Form_SuperClassico!$C$47:$G$128,5,FALSE)</f>
        <v>1</v>
      </c>
      <c r="X24" s="47" t="str">
        <f t="shared" si="4"/>
        <v>casa</v>
      </c>
      <c r="Y24" s="48">
        <f>IF(U24=SC!U$25,IF(SC!W$25=W24,3.4,IF(X24=SC!X$25,1.7,0)),IF(X24=SC!X$25,1.7,0))*IF(COUNTIF(X$4:X$24,X24)=1,2,1)</f>
        <v>1.7</v>
      </c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</row>
    <row r="25" ht="14.25" customHeight="1">
      <c r="A25" s="56"/>
      <c r="B25" s="58" t="s">
        <v>1</v>
      </c>
      <c r="C25" s="94">
        <v>3.0</v>
      </c>
      <c r="D25" s="95" t="s">
        <v>98</v>
      </c>
      <c r="E25" s="95">
        <v>1.0</v>
      </c>
      <c r="F25" s="96" t="str">
        <f t="shared" si="1"/>
        <v>casa</v>
      </c>
      <c r="G25" s="55"/>
      <c r="H25" s="40"/>
      <c r="I25" s="94">
        <v>1.0</v>
      </c>
      <c r="J25" s="95" t="s">
        <v>98</v>
      </c>
      <c r="K25" s="95">
        <v>2.0</v>
      </c>
      <c r="L25" s="96" t="str">
        <f t="shared" si="2"/>
        <v>visita</v>
      </c>
      <c r="M25" s="55"/>
      <c r="N25" s="56"/>
      <c r="O25" s="94">
        <v>1.0</v>
      </c>
      <c r="P25" s="95" t="s">
        <v>98</v>
      </c>
      <c r="Q25" s="95">
        <v>2.0</v>
      </c>
      <c r="R25" s="96" t="str">
        <f t="shared" si="3"/>
        <v>visita</v>
      </c>
      <c r="S25" s="55"/>
      <c r="T25" s="41"/>
      <c r="U25" s="94">
        <v>1.0</v>
      </c>
      <c r="V25" s="95" t="s">
        <v>98</v>
      </c>
      <c r="W25" s="95">
        <v>0.0</v>
      </c>
      <c r="X25" s="96" t="str">
        <f t="shared" si="4"/>
        <v>casa</v>
      </c>
      <c r="Y25" s="55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</row>
    <row r="26" ht="14.25" customHeight="1">
      <c r="A26" s="41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</row>
    <row r="27" ht="14.25" customHeight="1">
      <c r="A27" s="41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</row>
    <row r="28" ht="14.25" customHeight="1">
      <c r="A28" s="41"/>
      <c r="B28" s="40"/>
      <c r="C28" s="88" t="s">
        <v>153</v>
      </c>
      <c r="H28" s="40"/>
      <c r="I28" s="88" t="s">
        <v>154</v>
      </c>
      <c r="N28" s="41"/>
      <c r="O28" s="88" t="s">
        <v>155</v>
      </c>
      <c r="T28" s="41"/>
      <c r="U28" s="88" t="s">
        <v>156</v>
      </c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</row>
    <row r="29" ht="14.25" customHeight="1">
      <c r="A29" s="41"/>
      <c r="B29" s="1"/>
      <c r="C29" s="42" t="s">
        <v>157</v>
      </c>
      <c r="D29" s="43"/>
      <c r="E29" s="44"/>
      <c r="F29" s="9" t="s">
        <v>88</v>
      </c>
      <c r="G29" s="9" t="s">
        <v>89</v>
      </c>
      <c r="H29" s="40"/>
      <c r="I29" s="42" t="s">
        <v>112</v>
      </c>
      <c r="J29" s="43"/>
      <c r="K29" s="44"/>
      <c r="L29" s="9" t="s">
        <v>88</v>
      </c>
      <c r="M29" s="9" t="s">
        <v>89</v>
      </c>
      <c r="N29" s="41"/>
      <c r="O29" s="42" t="s">
        <v>158</v>
      </c>
      <c r="P29" s="43"/>
      <c r="Q29" s="44"/>
      <c r="R29" s="9" t="s">
        <v>88</v>
      </c>
      <c r="S29" s="9" t="s">
        <v>89</v>
      </c>
      <c r="T29" s="41"/>
      <c r="U29" s="42" t="s">
        <v>158</v>
      </c>
      <c r="V29" s="43"/>
      <c r="W29" s="44"/>
      <c r="X29" s="9" t="s">
        <v>88</v>
      </c>
      <c r="Y29" s="9" t="s">
        <v>89</v>
      </c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</row>
    <row r="30" ht="14.25" customHeight="1">
      <c r="A30" s="41"/>
      <c r="B30" s="63" t="s">
        <v>2</v>
      </c>
      <c r="C30" s="90">
        <f>VLOOKUP($B30,Form_SuperClassico!$C$69:$E$89,2,FALSE)</f>
        <v>3</v>
      </c>
      <c r="D30" s="91" t="s">
        <v>98</v>
      </c>
      <c r="E30" s="90">
        <f>VLOOKUP($B30,Form_SuperClassico!$C$69:$E$89,3,FALSE)</f>
        <v>1</v>
      </c>
      <c r="F30" s="47" t="str">
        <f t="shared" ref="F30:F51" si="5">IF(C30&gt;E30,"casa",IF(C30=E30,"empate","visita"))</f>
        <v>casa</v>
      </c>
      <c r="G30" s="48">
        <f>IF(C30=SC!C$51,IF(SC!E$51=E30,3.4,IF(F30=SC!F$51,1.7,0)),IF(F30=SC!F$51,1.7,0))*IF(COUNTIF($F$30:F$50,F30)=1,2,1)</f>
        <v>1.7</v>
      </c>
      <c r="H30" s="40"/>
      <c r="I30" s="97">
        <f>VLOOKUP($B30,Form_SuperClassico!$C$91:$E$129,2,FALSE)</f>
        <v>2</v>
      </c>
      <c r="J30" s="92" t="s">
        <v>98</v>
      </c>
      <c r="K30" s="97">
        <f>VLOOKUP($B30,Form_SuperClassico!$C$91:$E$129,3,FALSE)</f>
        <v>2</v>
      </c>
      <c r="L30" s="47" t="str">
        <f t="shared" ref="L30:L51" si="6">IF(I30&gt;K30,"casa",IF(I30=K30,"empate","visita"))</f>
        <v>empate</v>
      </c>
      <c r="M30" s="48">
        <f>IF(I30=SC!I$51,IF(SC!K$51=K30,3.4,IF(L30=SC!L$51,1.7,0)),IF(L30=SC!L$51,1.7,0))*IF(COUNTIF($L$30:L$50,L30)=1,2,1)</f>
        <v>0</v>
      </c>
      <c r="N30" s="41"/>
      <c r="O30" s="97">
        <f>VLOOKUP($B30,Form_SuperClassico!$C$3:$W$149,2,FALSE)</f>
        <v>2</v>
      </c>
      <c r="P30" s="92" t="s">
        <v>98</v>
      </c>
      <c r="Q30" s="97">
        <f>VLOOKUP($B30,Form_SuperClassico!$C$3:$W$149,3,FALSE)</f>
        <v>1</v>
      </c>
      <c r="R30" s="47" t="str">
        <f t="shared" ref="R30:R51" si="7">IF(O30&gt;Q30,"casa",IF(O30=Q30,"empate","visita"))</f>
        <v>casa</v>
      </c>
      <c r="S30" s="48">
        <f>IF(O30=SC!O$25,IF(SC!Q$25=Q30,3.4,IF(R30=SC!R$25,1.7,0)),IF(R30=SC!R$25,1.7,0))*IF(COUNTIF($R$30:R$50,R30)=1,2,1)</f>
        <v>0</v>
      </c>
      <c r="T30" s="41"/>
      <c r="U30" s="97">
        <f>VLOOKUP($B30,Form_SuperClassico!$C$3:$W$149,2,FALSE)</f>
        <v>2</v>
      </c>
      <c r="V30" s="92" t="s">
        <v>98</v>
      </c>
      <c r="W30" s="97">
        <f>VLOOKUP($B30,Form_SuperClassico!$C$3:$W$149,3,FALSE)</f>
        <v>1</v>
      </c>
      <c r="X30" s="47" t="str">
        <f t="shared" ref="X30:X51" si="8">IF(U30&gt;W30,"casa",IF(U30=W30,"empate","visita"))</f>
        <v>casa</v>
      </c>
      <c r="Y30" s="48">
        <f>IF(U30=SC!U$25,IF(SC!W$25=W30,3.4,IF(X30=SC!X$25,1.7,0)),IF(X30=SC!X$25,1.7,0))*IF(COUNTIF($X$30:X$50,X30)=1,2,1)</f>
        <v>1.7</v>
      </c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</row>
    <row r="31" ht="14.25" customHeight="1">
      <c r="A31" s="41"/>
      <c r="B31" s="51" t="s">
        <v>3</v>
      </c>
      <c r="C31" s="90">
        <f>VLOOKUP($B31,Form_SuperClassico!$C$69:$E$89,2,FALSE)</f>
        <v>2</v>
      </c>
      <c r="D31" s="92" t="s">
        <v>98</v>
      </c>
      <c r="E31" s="90">
        <f>VLOOKUP($B31,Form_SuperClassico!$C$69:$E$89,3,FALSE)</f>
        <v>1</v>
      </c>
      <c r="F31" s="47" t="str">
        <f t="shared" si="5"/>
        <v>casa</v>
      </c>
      <c r="G31" s="48">
        <f>IF(C31=SC!C$51,IF(SC!E$51=E31,3.4,IF(F31=SC!F$51,1.7,0)),IF(F31=SC!F$51,1.7,0))*IF(COUNTIF($F$30:F$50,F31)=1,2,1)</f>
        <v>1.7</v>
      </c>
      <c r="H31" s="40"/>
      <c r="I31" s="97">
        <f>VLOOKUP($B31,Form_SuperClassico!$C$91:$E$129,2,FALSE)</f>
        <v>3</v>
      </c>
      <c r="J31" s="92" t="s">
        <v>98</v>
      </c>
      <c r="K31" s="97">
        <f>VLOOKUP($B31,Form_SuperClassico!$C$91:$E$129,3,FALSE)</f>
        <v>1</v>
      </c>
      <c r="L31" s="47" t="str">
        <f t="shared" si="6"/>
        <v>casa</v>
      </c>
      <c r="M31" s="48">
        <f>IF(I31=SC!I$51,IF(SC!K$51=K31,3.4,IF(L31=SC!L$51,1.7,0)),IF(L31=SC!L$51,1.7,0))*IF(COUNTIF($L$30:L$50,L31)=1,2,1)</f>
        <v>0</v>
      </c>
      <c r="N31" s="41"/>
      <c r="O31" s="90">
        <f>VLOOKUP($B31,Form_SuperClassico!$C$3:$W$149,2,FALSE)</f>
        <v>1</v>
      </c>
      <c r="P31" s="92" t="s">
        <v>98</v>
      </c>
      <c r="Q31" s="90">
        <f>VLOOKUP($B31,Form_SuperClassico!$C$3:$W$149,3,FALSE)</f>
        <v>2</v>
      </c>
      <c r="R31" s="47" t="str">
        <f t="shared" si="7"/>
        <v>visita</v>
      </c>
      <c r="S31" s="48">
        <f>IF(O31=SC!O$25,IF(SC!Q$25=Q31,3.4,IF(R31=SC!R$25,1.7,0)),IF(R31=SC!R$25,1.7,0))*IF(COUNTIF($R$30:R$50,R31)=1,2,1)</f>
        <v>3.4</v>
      </c>
      <c r="T31" s="41"/>
      <c r="U31" s="90">
        <f>VLOOKUP($B31,Form_SuperClassico!$C$3:$W$149,2,FALSE)</f>
        <v>1</v>
      </c>
      <c r="V31" s="92" t="s">
        <v>98</v>
      </c>
      <c r="W31" s="90">
        <f>VLOOKUP($B31,Form_SuperClassico!$C$3:$W$149,3,FALSE)</f>
        <v>2</v>
      </c>
      <c r="X31" s="47" t="str">
        <f t="shared" si="8"/>
        <v>visita</v>
      </c>
      <c r="Y31" s="48">
        <f>IF(U31=SC!U$25,IF(SC!W$25=W31,3.4,IF(X31=SC!X$25,1.7,0)),IF(X31=SC!X$25,1.7,0))*IF(COUNTIF($X$30:X$50,X31)=1,2,1)</f>
        <v>0</v>
      </c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</row>
    <row r="32" ht="14.25" customHeight="1">
      <c r="A32" s="41"/>
      <c r="B32" s="51" t="s">
        <v>4</v>
      </c>
      <c r="C32" s="90">
        <f>VLOOKUP($B32,Form_SuperClassico!$C$69:$E$89,2,FALSE)</f>
        <v>1</v>
      </c>
      <c r="D32" s="93" t="s">
        <v>98</v>
      </c>
      <c r="E32" s="90">
        <f>VLOOKUP($B32,Form_SuperClassico!$C$69:$E$89,3,FALSE)</f>
        <v>0</v>
      </c>
      <c r="F32" s="47" t="str">
        <f t="shared" si="5"/>
        <v>casa</v>
      </c>
      <c r="G32" s="48">
        <f>IF(C32=SC!C$51,IF(SC!E$51=E32,3.4,IF(F32=SC!F$51,1.7,0)),IF(F32=SC!F$51,1.7,0))*IF(COUNTIF($F$30:F$50,F32)=1,2,1)</f>
        <v>1.7</v>
      </c>
      <c r="H32" s="40"/>
      <c r="I32" s="97">
        <f>VLOOKUP($B32,Form_SuperClassico!$C$91:$E$129,2,FALSE)</f>
        <v>2</v>
      </c>
      <c r="J32" s="93" t="s">
        <v>98</v>
      </c>
      <c r="K32" s="97">
        <f>VLOOKUP($B32,Form_SuperClassico!$C$91:$E$129,3,FALSE)</f>
        <v>1</v>
      </c>
      <c r="L32" s="47" t="str">
        <f t="shared" si="6"/>
        <v>casa</v>
      </c>
      <c r="M32" s="48">
        <f>IF(I32=SC!I$51,IF(SC!K$51=K32,3.4,IF(L32=SC!L$51,1.7,0)),IF(L32=SC!L$51,1.7,0))*IF(COUNTIF($L$30:L$50,L32)=1,2,1)</f>
        <v>0</v>
      </c>
      <c r="N32" s="41"/>
      <c r="O32" s="90">
        <f>VLOOKUP($B32,Form_SuperClassico!$C$3:$W$149,2,FALSE)</f>
        <v>2</v>
      </c>
      <c r="P32" s="93" t="s">
        <v>98</v>
      </c>
      <c r="Q32" s="90">
        <f>VLOOKUP($B32,Form_SuperClassico!$C$3:$W$149,3,FALSE)</f>
        <v>2</v>
      </c>
      <c r="R32" s="47" t="str">
        <f t="shared" si="7"/>
        <v>empate</v>
      </c>
      <c r="S32" s="48">
        <f>IF(O32=SC!O$25,IF(SC!Q$25=Q32,3.4,IF(R32=SC!R$25,1.7,0)),IF(R32=SC!R$25,1.7,0))*IF(COUNTIF($R$30:R$50,R32)=1,2,1)</f>
        <v>0</v>
      </c>
      <c r="T32" s="41"/>
      <c r="U32" s="90">
        <f>VLOOKUP($B32,Form_SuperClassico!$C$3:$W$149,2,FALSE)</f>
        <v>2</v>
      </c>
      <c r="V32" s="93" t="s">
        <v>98</v>
      </c>
      <c r="W32" s="90">
        <f>VLOOKUP($B32,Form_SuperClassico!$C$3:$W$149,3,FALSE)</f>
        <v>2</v>
      </c>
      <c r="X32" s="47" t="str">
        <f t="shared" si="8"/>
        <v>empate</v>
      </c>
      <c r="Y32" s="48">
        <f>IF(U32=SC!U$25,IF(SC!W$25=W32,3.4,IF(X32=SC!X$25,1.7,0)),IF(X32=SC!X$25,1.7,0))*IF(COUNTIF($X$30:X$50,X32)=1,2,1)</f>
        <v>0</v>
      </c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</row>
    <row r="33" ht="14.25" customHeight="1">
      <c r="A33" s="41"/>
      <c r="B33" s="51" t="s">
        <v>5</v>
      </c>
      <c r="C33" s="90">
        <f>VLOOKUP($B33,Form_SuperClassico!$C$69:$E$89,2,FALSE)</f>
        <v>2</v>
      </c>
      <c r="D33" s="92" t="s">
        <v>98</v>
      </c>
      <c r="E33" s="90">
        <f>VLOOKUP($B33,Form_SuperClassico!$C$69:$E$89,3,FALSE)</f>
        <v>1</v>
      </c>
      <c r="F33" s="47" t="str">
        <f t="shared" si="5"/>
        <v>casa</v>
      </c>
      <c r="G33" s="48">
        <f>IF(C33=SC!C$51,IF(SC!E$51=E33,3.4,IF(F33=SC!F$51,1.7,0)),IF(F33=SC!F$51,1.7,0))*IF(COUNTIF($F$30:F$50,F33)=1,2,1)</f>
        <v>1.7</v>
      </c>
      <c r="H33" s="40"/>
      <c r="I33" s="97">
        <f>VLOOKUP($B33,Form_SuperClassico!$C$91:$E$129,2,FALSE)</f>
        <v>3</v>
      </c>
      <c r="J33" s="92" t="s">
        <v>98</v>
      </c>
      <c r="K33" s="97">
        <f>VLOOKUP($B33,Form_SuperClassico!$C$91:$E$129,3,FALSE)</f>
        <v>2</v>
      </c>
      <c r="L33" s="47" t="str">
        <f t="shared" si="6"/>
        <v>casa</v>
      </c>
      <c r="M33" s="48">
        <f>IF(I33=SC!I$51,IF(SC!K$51=K33,3.4,IF(L33=SC!L$51,1.7,0)),IF(L33=SC!L$51,1.7,0))*IF(COUNTIF($L$30:L$50,L33)=1,2,1)</f>
        <v>0</v>
      </c>
      <c r="N33" s="41"/>
      <c r="O33" s="90">
        <f>VLOOKUP($B33,Form_SuperClassico!$C$3:$W$149,2,FALSE)</f>
        <v>3</v>
      </c>
      <c r="P33" s="92" t="s">
        <v>98</v>
      </c>
      <c r="Q33" s="90">
        <f>VLOOKUP($B33,Form_SuperClassico!$C$3:$W$149,3,FALSE)</f>
        <v>2</v>
      </c>
      <c r="R33" s="47" t="str">
        <f t="shared" si="7"/>
        <v>casa</v>
      </c>
      <c r="S33" s="48">
        <f>IF(O33=SC!O$25,IF(SC!Q$25=Q33,3.4,IF(R33=SC!R$25,1.7,0)),IF(R33=SC!R$25,1.7,0))*IF(COUNTIF($R$30:R$50,R33)=1,2,1)</f>
        <v>0</v>
      </c>
      <c r="T33" s="41"/>
      <c r="U33" s="90">
        <f>VLOOKUP($B33,Form_SuperClassico!$C$3:$W$149,2,FALSE)</f>
        <v>3</v>
      </c>
      <c r="V33" s="92" t="s">
        <v>98</v>
      </c>
      <c r="W33" s="90">
        <f>VLOOKUP($B33,Form_SuperClassico!$C$3:$W$149,3,FALSE)</f>
        <v>2</v>
      </c>
      <c r="X33" s="47" t="str">
        <f t="shared" si="8"/>
        <v>casa</v>
      </c>
      <c r="Y33" s="48">
        <f>IF(U33=SC!U$25,IF(SC!W$25=W33,3.4,IF(X33=SC!X$25,1.7,0)),IF(X33=SC!X$25,1.7,0))*IF(COUNTIF($X$30:X$50,X33)=1,2,1)</f>
        <v>1.7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</row>
    <row r="34" ht="14.25" customHeight="1">
      <c r="A34" s="41"/>
      <c r="B34" s="51" t="s">
        <v>6</v>
      </c>
      <c r="C34" s="90">
        <f>VLOOKUP($B34,Form_SuperClassico!$C$69:$E$89,2,FALSE)</f>
        <v>2</v>
      </c>
      <c r="D34" s="92" t="s">
        <v>98</v>
      </c>
      <c r="E34" s="90">
        <f>VLOOKUP($B34,Form_SuperClassico!$C$69:$E$89,3,FALSE)</f>
        <v>1</v>
      </c>
      <c r="F34" s="47" t="str">
        <f t="shared" si="5"/>
        <v>casa</v>
      </c>
      <c r="G34" s="48">
        <f>IF(C34=SC!C$51,IF(SC!E$51=E34,3.4,IF(F34=SC!F$51,1.7,0)),IF(F34=SC!F$51,1.7,0))*IF(COUNTIF($F$30:F$50,F34)=1,2,1)</f>
        <v>1.7</v>
      </c>
      <c r="H34" s="40"/>
      <c r="I34" s="97">
        <f>VLOOKUP($B34,Form_SuperClassico!$C$91:$E$129,2,FALSE)</f>
        <v>2</v>
      </c>
      <c r="J34" s="92" t="s">
        <v>98</v>
      </c>
      <c r="K34" s="97">
        <f>VLOOKUP($B34,Form_SuperClassico!$C$91:$E$129,3,FALSE)</f>
        <v>2</v>
      </c>
      <c r="L34" s="47" t="str">
        <f t="shared" si="6"/>
        <v>empate</v>
      </c>
      <c r="M34" s="48">
        <f>IF(I34=SC!I$51,IF(SC!K$51=K34,3.4,IF(L34=SC!L$51,1.7,0)),IF(L34=SC!L$51,1.7,0))*IF(COUNTIF($L$30:L$50,L34)=1,2,1)</f>
        <v>0</v>
      </c>
      <c r="N34" s="41"/>
      <c r="O34" s="90">
        <f>VLOOKUP($B34,Form_SuperClassico!$C$3:$W$149,2,FALSE)</f>
        <v>2</v>
      </c>
      <c r="P34" s="92" t="s">
        <v>98</v>
      </c>
      <c r="Q34" s="90">
        <f>VLOOKUP($B34,Form_SuperClassico!$C$3:$W$149,3,FALSE)</f>
        <v>1</v>
      </c>
      <c r="R34" s="47" t="str">
        <f t="shared" si="7"/>
        <v>casa</v>
      </c>
      <c r="S34" s="48">
        <f>IF(O34=SC!O$25,IF(SC!Q$25=Q34,3.4,IF(R34=SC!R$25,1.7,0)),IF(R34=SC!R$25,1.7,0))*IF(COUNTIF($R$30:R$50,R34)=1,2,1)</f>
        <v>0</v>
      </c>
      <c r="T34" s="41"/>
      <c r="U34" s="90">
        <f>VLOOKUP($B34,Form_SuperClassico!$C$3:$W$149,2,FALSE)</f>
        <v>2</v>
      </c>
      <c r="V34" s="92" t="s">
        <v>98</v>
      </c>
      <c r="W34" s="90">
        <f>VLOOKUP($B34,Form_SuperClassico!$C$3:$W$149,3,FALSE)</f>
        <v>1</v>
      </c>
      <c r="X34" s="47" t="str">
        <f t="shared" si="8"/>
        <v>casa</v>
      </c>
      <c r="Y34" s="48">
        <f>IF(U34=SC!U$25,IF(SC!W$25=W34,3.4,IF(X34=SC!X$25,1.7,0)),IF(X34=SC!X$25,1.7,0))*IF(COUNTIF($X$30:X$50,X34)=1,2,1)</f>
        <v>1.7</v>
      </c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</row>
    <row r="35" ht="14.25" customHeight="1">
      <c r="A35" s="41"/>
      <c r="B35" s="51" t="s">
        <v>7</v>
      </c>
      <c r="C35" s="90">
        <f>VLOOKUP($B35,Form_SuperClassico!$C$69:$E$89,2,FALSE)</f>
        <v>4</v>
      </c>
      <c r="D35" s="92" t="s">
        <v>98</v>
      </c>
      <c r="E35" s="90">
        <f>VLOOKUP($B35,Form_SuperClassico!$C$69:$E$89,3,FALSE)</f>
        <v>2</v>
      </c>
      <c r="F35" s="47" t="str">
        <f t="shared" si="5"/>
        <v>casa</v>
      </c>
      <c r="G35" s="48">
        <f>IF(C35=SC!C$51,IF(SC!E$51=E35,3.4,IF(F35=SC!F$51,1.7,0)),IF(F35=SC!F$51,1.7,0))*IF(COUNTIF($F$30:F$50,F35)=1,2,1)</f>
        <v>1.7</v>
      </c>
      <c r="H35" s="40"/>
      <c r="I35" s="97">
        <f>VLOOKUP($B35,Form_SuperClassico!$C$91:$E$129,2,FALSE)</f>
        <v>3</v>
      </c>
      <c r="J35" s="92" t="s">
        <v>98</v>
      </c>
      <c r="K35" s="97">
        <f>VLOOKUP($B35,Form_SuperClassico!$C$91:$E$129,3,FALSE)</f>
        <v>2</v>
      </c>
      <c r="L35" s="47" t="str">
        <f t="shared" si="6"/>
        <v>casa</v>
      </c>
      <c r="M35" s="48">
        <f>IF(I35=SC!I$51,IF(SC!K$51=K35,3.4,IF(L35=SC!L$51,1.7,0)),IF(L35=SC!L$51,1.7,0))*IF(COUNTIF($L$30:L$50,L35)=1,2,1)</f>
        <v>0</v>
      </c>
      <c r="N35" s="41"/>
      <c r="O35" s="90">
        <f>VLOOKUP($B35,Form_SuperClassico!$C$3:$W$149,2,FALSE)</f>
        <v>3</v>
      </c>
      <c r="P35" s="92" t="s">
        <v>98</v>
      </c>
      <c r="Q35" s="90">
        <f>VLOOKUP($B35,Form_SuperClassico!$C$3:$W$149,3,FALSE)</f>
        <v>2</v>
      </c>
      <c r="R35" s="47" t="str">
        <f t="shared" si="7"/>
        <v>casa</v>
      </c>
      <c r="S35" s="48">
        <f>IF(O35=SC!O$25,IF(SC!Q$25=Q35,3.4,IF(R35=SC!R$25,1.7,0)),IF(R35=SC!R$25,1.7,0))*IF(COUNTIF($R$30:R$50,R35)=1,2,1)</f>
        <v>0</v>
      </c>
      <c r="T35" s="41"/>
      <c r="U35" s="90">
        <f>VLOOKUP($B35,Form_SuperClassico!$C$3:$W$149,2,FALSE)</f>
        <v>3</v>
      </c>
      <c r="V35" s="92" t="s">
        <v>98</v>
      </c>
      <c r="W35" s="90">
        <f>VLOOKUP($B35,Form_SuperClassico!$C$3:$W$149,3,FALSE)</f>
        <v>2</v>
      </c>
      <c r="X35" s="47" t="str">
        <f t="shared" si="8"/>
        <v>casa</v>
      </c>
      <c r="Y35" s="48">
        <f>IF(U35=SC!U$25,IF(SC!W$25=W35,3.4,IF(X35=SC!X$25,1.7,0)),IF(X35=SC!X$25,1.7,0))*IF(COUNTIF($X$30:X$50,X35)=1,2,1)</f>
        <v>1.7</v>
      </c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</row>
    <row r="36" ht="14.25" customHeight="1">
      <c r="A36" s="41"/>
      <c r="B36" s="51" t="s">
        <v>8</v>
      </c>
      <c r="C36" s="90">
        <f>VLOOKUP($B36,Form_SuperClassico!$C$69:$E$89,2,FALSE)</f>
        <v>2</v>
      </c>
      <c r="D36" s="93" t="s">
        <v>98</v>
      </c>
      <c r="E36" s="90">
        <f>VLOOKUP($B36,Form_SuperClassico!$C$69:$E$89,3,FALSE)</f>
        <v>1</v>
      </c>
      <c r="F36" s="47" t="str">
        <f t="shared" si="5"/>
        <v>casa</v>
      </c>
      <c r="G36" s="48">
        <f>IF(C36=SC!C$51,IF(SC!E$51=E36,3.4,IF(F36=SC!F$51,1.7,0)),IF(F36=SC!F$51,1.7,0))*IF(COUNTIF($F$30:F$50,F36)=1,2,1)</f>
        <v>1.7</v>
      </c>
      <c r="H36" s="40"/>
      <c r="I36" s="97">
        <f>VLOOKUP($B36,Form_SuperClassico!$C$91:$E$129,2,FALSE)</f>
        <v>3</v>
      </c>
      <c r="J36" s="93" t="s">
        <v>98</v>
      </c>
      <c r="K36" s="97">
        <f>VLOOKUP($B36,Form_SuperClassico!$C$91:$E$129,3,FALSE)</f>
        <v>1</v>
      </c>
      <c r="L36" s="47" t="str">
        <f t="shared" si="6"/>
        <v>casa</v>
      </c>
      <c r="M36" s="48">
        <f>IF(I36=SC!I$51,IF(SC!K$51=K36,3.4,IF(L36=SC!L$51,1.7,0)),IF(L36=SC!L$51,1.7,0))*IF(COUNTIF($L$30:L$50,L36)=1,2,1)</f>
        <v>0</v>
      </c>
      <c r="N36" s="41"/>
      <c r="O36" s="90">
        <f>VLOOKUP($B36,Form_SuperClassico!$C$3:$W$149,2,FALSE)</f>
        <v>3</v>
      </c>
      <c r="P36" s="93" t="s">
        <v>98</v>
      </c>
      <c r="Q36" s="90">
        <f>VLOOKUP($B36,Form_SuperClassico!$C$3:$W$149,3,FALSE)</f>
        <v>1</v>
      </c>
      <c r="R36" s="47" t="str">
        <f t="shared" si="7"/>
        <v>casa</v>
      </c>
      <c r="S36" s="48">
        <f>IF(O36=SC!O$25,IF(SC!Q$25=Q36,3.4,IF(R36=SC!R$25,1.7,0)),IF(R36=SC!R$25,1.7,0))*IF(COUNTIF($R$30:R$50,R36)=1,2,1)</f>
        <v>0</v>
      </c>
      <c r="T36" s="41"/>
      <c r="U36" s="90">
        <f>VLOOKUP($B36,Form_SuperClassico!$C$3:$W$149,2,FALSE)</f>
        <v>3</v>
      </c>
      <c r="V36" s="93" t="s">
        <v>98</v>
      </c>
      <c r="W36" s="90">
        <f>VLOOKUP($B36,Form_SuperClassico!$C$3:$W$149,3,FALSE)</f>
        <v>1</v>
      </c>
      <c r="X36" s="47" t="str">
        <f t="shared" si="8"/>
        <v>casa</v>
      </c>
      <c r="Y36" s="48">
        <f>IF(U36=SC!U$25,IF(SC!W$25=W36,3.4,IF(X36=SC!X$25,1.7,0)),IF(X36=SC!X$25,1.7,0))*IF(COUNTIF($X$30:X$50,X36)=1,2,1)</f>
        <v>1.7</v>
      </c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</row>
    <row r="37" ht="14.25" customHeight="1">
      <c r="A37" s="41"/>
      <c r="B37" s="51" t="s">
        <v>9</v>
      </c>
      <c r="C37" s="90">
        <f>VLOOKUP($B37,Form_SuperClassico!$C$69:$E$89,2,FALSE)</f>
        <v>2</v>
      </c>
      <c r="D37" s="92" t="s">
        <v>98</v>
      </c>
      <c r="E37" s="90">
        <f>VLOOKUP($B37,Form_SuperClassico!$C$69:$E$89,3,FALSE)</f>
        <v>1</v>
      </c>
      <c r="F37" s="47" t="str">
        <f t="shared" si="5"/>
        <v>casa</v>
      </c>
      <c r="G37" s="48">
        <f>IF(C37=SC!C$51,IF(SC!E$51=E37,3.4,IF(F37=SC!F$51,1.7,0)),IF(F37=SC!F$51,1.7,0))*IF(COUNTIF($F$30:F$50,F37)=1,2,1)</f>
        <v>1.7</v>
      </c>
      <c r="H37" s="40"/>
      <c r="I37" s="97">
        <f>VLOOKUP($B37,Form_SuperClassico!$C$91:$E$129,2,FALSE)</f>
        <v>2</v>
      </c>
      <c r="J37" s="92" t="s">
        <v>98</v>
      </c>
      <c r="K37" s="97">
        <f>VLOOKUP($B37,Form_SuperClassico!$C$91:$E$129,3,FALSE)</f>
        <v>1</v>
      </c>
      <c r="L37" s="47" t="str">
        <f t="shared" si="6"/>
        <v>casa</v>
      </c>
      <c r="M37" s="48">
        <f>IF(I37=SC!I$51,IF(SC!K$51=K37,3.4,IF(L37=SC!L$51,1.7,0)),IF(L37=SC!L$51,1.7,0))*IF(COUNTIF($L$30:L$50,L37)=1,2,1)</f>
        <v>0</v>
      </c>
      <c r="N37" s="41"/>
      <c r="O37" s="90">
        <f>VLOOKUP($B37,Form_SuperClassico!$C$3:$W$149,2,FALSE)</f>
        <v>1</v>
      </c>
      <c r="P37" s="92" t="s">
        <v>98</v>
      </c>
      <c r="Q37" s="90">
        <f>VLOOKUP($B37,Form_SuperClassico!$C$3:$W$149,3,FALSE)</f>
        <v>1</v>
      </c>
      <c r="R37" s="47" t="str">
        <f t="shared" si="7"/>
        <v>empate</v>
      </c>
      <c r="S37" s="48">
        <f>IF(O37=SC!O$25,IF(SC!Q$25=Q37,3.4,IF(R37=SC!R$25,1.7,0)),IF(R37=SC!R$25,1.7,0))*IF(COUNTIF($R$30:R$50,R37)=1,2,1)</f>
        <v>0</v>
      </c>
      <c r="T37" s="41"/>
      <c r="U37" s="90">
        <f>VLOOKUP($B37,Form_SuperClassico!$C$3:$W$149,2,FALSE)</f>
        <v>1</v>
      </c>
      <c r="V37" s="92" t="s">
        <v>98</v>
      </c>
      <c r="W37" s="90">
        <f>VLOOKUP($B37,Form_SuperClassico!$C$3:$W$149,3,FALSE)</f>
        <v>1</v>
      </c>
      <c r="X37" s="47" t="str">
        <f t="shared" si="8"/>
        <v>empate</v>
      </c>
      <c r="Y37" s="48">
        <f>IF(U37=SC!U$25,IF(SC!W$25=W37,3.4,IF(X37=SC!X$25,1.7,0)),IF(X37=SC!X$25,1.7,0))*IF(COUNTIF($X$30:X$50,X37)=1,2,1)</f>
        <v>0</v>
      </c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</row>
    <row r="38" ht="14.25" customHeight="1">
      <c r="A38" s="41"/>
      <c r="B38" s="51" t="s">
        <v>10</v>
      </c>
      <c r="C38" s="90">
        <f>VLOOKUP($B38,Form_SuperClassico!$C$69:$E$89,2,FALSE)</f>
        <v>2</v>
      </c>
      <c r="D38" s="92" t="s">
        <v>98</v>
      </c>
      <c r="E38" s="90">
        <f>VLOOKUP($B38,Form_SuperClassico!$C$69:$E$89,3,FALSE)</f>
        <v>1</v>
      </c>
      <c r="F38" s="47" t="str">
        <f t="shared" si="5"/>
        <v>casa</v>
      </c>
      <c r="G38" s="48">
        <f>IF(C38=SC!C$51,IF(SC!E$51=E38,3.4,IF(F38=SC!F$51,1.7,0)),IF(F38=SC!F$51,1.7,0))*IF(COUNTIF($F$30:F$50,F38)=1,2,1)</f>
        <v>1.7</v>
      </c>
      <c r="H38" s="40"/>
      <c r="I38" s="97">
        <f>VLOOKUP($B38,Form_SuperClassico!$C$91:$E$129,2,FALSE)</f>
        <v>1</v>
      </c>
      <c r="J38" s="92" t="s">
        <v>98</v>
      </c>
      <c r="K38" s="97">
        <f>VLOOKUP($B38,Form_SuperClassico!$C$91:$E$129,3,FALSE)</f>
        <v>3</v>
      </c>
      <c r="L38" s="47" t="str">
        <f t="shared" si="6"/>
        <v>visita</v>
      </c>
      <c r="M38" s="48">
        <f>IF(I38=SC!I$51,IF(SC!K$51=K38,3.4,IF(L38=SC!L$51,1.7,0)),IF(L38=SC!L$51,1.7,0))*IF(COUNTIF($L$30:L$50,L38)=1,2,1)</f>
        <v>1.7</v>
      </c>
      <c r="N38" s="41"/>
      <c r="O38" s="90">
        <f>VLOOKUP($B38,Form_SuperClassico!$C$3:$W$149,2,FALSE)</f>
        <v>1</v>
      </c>
      <c r="P38" s="92" t="s">
        <v>98</v>
      </c>
      <c r="Q38" s="90">
        <f>VLOOKUP($B38,Form_SuperClassico!$C$3:$W$149,3,FALSE)</f>
        <v>3</v>
      </c>
      <c r="R38" s="47" t="str">
        <f t="shared" si="7"/>
        <v>visita</v>
      </c>
      <c r="S38" s="48">
        <f>IF(O38=SC!O$25,IF(SC!Q$25=Q38,3.4,IF(R38=SC!R$25,1.7,0)),IF(R38=SC!R$25,1.7,0))*IF(COUNTIF($R$30:R$50,R38)=1,2,1)</f>
        <v>1.7</v>
      </c>
      <c r="T38" s="41"/>
      <c r="U38" s="90">
        <f>VLOOKUP($B38,Form_SuperClassico!$C$3:$W$149,2,FALSE)</f>
        <v>1</v>
      </c>
      <c r="V38" s="92" t="s">
        <v>98</v>
      </c>
      <c r="W38" s="90">
        <f>VLOOKUP($B38,Form_SuperClassico!$C$3:$W$149,3,FALSE)</f>
        <v>3</v>
      </c>
      <c r="X38" s="47" t="str">
        <f t="shared" si="8"/>
        <v>visita</v>
      </c>
      <c r="Y38" s="48">
        <f>IF(U38=SC!U$25,IF(SC!W$25=W38,3.4,IF(X38=SC!X$25,1.7,0)),IF(X38=SC!X$25,1.7,0))*IF(COUNTIF($X$30:X$50,X38)=1,2,1)</f>
        <v>0</v>
      </c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</row>
    <row r="39" ht="14.25" customHeight="1">
      <c r="A39" s="41"/>
      <c r="B39" s="51" t="s">
        <v>11</v>
      </c>
      <c r="C39" s="90">
        <f>VLOOKUP($B39,Form_SuperClassico!$C$69:$E$89,2,FALSE)</f>
        <v>2</v>
      </c>
      <c r="D39" s="93" t="s">
        <v>98</v>
      </c>
      <c r="E39" s="90">
        <f>VLOOKUP($B39,Form_SuperClassico!$C$69:$E$89,3,FALSE)</f>
        <v>2</v>
      </c>
      <c r="F39" s="47" t="str">
        <f t="shared" si="5"/>
        <v>empate</v>
      </c>
      <c r="G39" s="48">
        <f>IF(C39=SC!C$51,IF(SC!E$51=E39,3.4,IF(F39=SC!F$51,1.7,0)),IF(F39=SC!F$51,1.7,0))*IF(COUNTIF($F$30:F$50,F39)=1,2,1)</f>
        <v>0</v>
      </c>
      <c r="H39" s="40"/>
      <c r="I39" s="97">
        <f>VLOOKUP($B39,Form_SuperClassico!$C$91:$E$129,2,FALSE)</f>
        <v>0</v>
      </c>
      <c r="J39" s="93" t="s">
        <v>98</v>
      </c>
      <c r="K39" s="97">
        <f>VLOOKUP($B39,Form_SuperClassico!$C$91:$E$129,3,FALSE)</f>
        <v>2</v>
      </c>
      <c r="L39" s="47" t="str">
        <f t="shared" si="6"/>
        <v>visita</v>
      </c>
      <c r="M39" s="48">
        <f>IF(I39=SC!I$51,IF(SC!K$51=K39,3.4,IF(L39=SC!L$51,1.7,0)),IF(L39=SC!L$51,1.7,0))*IF(COUNTIF($L$30:L$50,L39)=1,2,1)</f>
        <v>1.7</v>
      </c>
      <c r="N39" s="41"/>
      <c r="O39" s="90">
        <f>VLOOKUP($B39,Form_SuperClassico!$C$3:$W$149,2,FALSE)</f>
        <v>2</v>
      </c>
      <c r="P39" s="93" t="s">
        <v>98</v>
      </c>
      <c r="Q39" s="90">
        <f>VLOOKUP($B39,Form_SuperClassico!$C$3:$W$149,3,FALSE)</f>
        <v>2</v>
      </c>
      <c r="R39" s="47" t="str">
        <f t="shared" si="7"/>
        <v>empate</v>
      </c>
      <c r="S39" s="48">
        <f>IF(O39=SC!O$25,IF(SC!Q$25=Q39,3.4,IF(R39=SC!R$25,1.7,0)),IF(R39=SC!R$25,1.7,0))*IF(COUNTIF($R$30:R$50,R39)=1,2,1)</f>
        <v>0</v>
      </c>
      <c r="T39" s="41"/>
      <c r="U39" s="90">
        <f>VLOOKUP($B39,Form_SuperClassico!$C$3:$W$149,2,FALSE)</f>
        <v>2</v>
      </c>
      <c r="V39" s="93" t="s">
        <v>98</v>
      </c>
      <c r="W39" s="90">
        <f>VLOOKUP($B39,Form_SuperClassico!$C$3:$W$149,3,FALSE)</f>
        <v>2</v>
      </c>
      <c r="X39" s="47" t="str">
        <f t="shared" si="8"/>
        <v>empate</v>
      </c>
      <c r="Y39" s="48">
        <f>IF(U39=SC!U$25,IF(SC!W$25=W39,3.4,IF(X39=SC!X$25,1.7,0)),IF(X39=SC!X$25,1.7,0))*IF(COUNTIF($X$30:X$50,X39)=1,2,1)</f>
        <v>0</v>
      </c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</row>
    <row r="40" ht="13.5" customHeight="1">
      <c r="A40" s="41"/>
      <c r="B40" s="51" t="s">
        <v>12</v>
      </c>
      <c r="C40" s="90">
        <f>VLOOKUP($B40,Form_SuperClassico!$C$69:$E$89,2,FALSE)</f>
        <v>2</v>
      </c>
      <c r="D40" s="93" t="s">
        <v>98</v>
      </c>
      <c r="E40" s="90">
        <f>VLOOKUP($B40,Form_SuperClassico!$C$69:$E$89,3,FALSE)</f>
        <v>2</v>
      </c>
      <c r="F40" s="47" t="str">
        <f t="shared" si="5"/>
        <v>empate</v>
      </c>
      <c r="G40" s="48">
        <f>IF(C40=SC!C$51,IF(SC!E$51=E40,3.4,IF(F40=SC!F$51,1.7,0)),IF(F40=SC!F$51,1.7,0))*IF(COUNTIF($F$30:F$50,F40)=1,2,1)</f>
        <v>0</v>
      </c>
      <c r="H40" s="40"/>
      <c r="I40" s="97">
        <f>VLOOKUP($B40,Form_SuperClassico!$C$91:$E$129,2,FALSE)</f>
        <v>1</v>
      </c>
      <c r="J40" s="93" t="s">
        <v>98</v>
      </c>
      <c r="K40" s="97">
        <f>VLOOKUP($B40,Form_SuperClassico!$C$91:$E$129,3,FALSE)</f>
        <v>2</v>
      </c>
      <c r="L40" s="47" t="str">
        <f t="shared" si="6"/>
        <v>visita</v>
      </c>
      <c r="M40" s="48">
        <f>IF(I40=SC!I$51,IF(SC!K$51=K40,3.4,IF(L40=SC!L$51,1.7,0)),IF(L40=SC!L$51,1.7,0))*IF(COUNTIF($L$30:L$50,L40)=1,2,1)</f>
        <v>3.4</v>
      </c>
      <c r="N40" s="41"/>
      <c r="O40" s="90">
        <f>VLOOKUP($B40,Form_SuperClassico!$C$3:$W$149,2,FALSE)</f>
        <v>1</v>
      </c>
      <c r="P40" s="93" t="s">
        <v>98</v>
      </c>
      <c r="Q40" s="90">
        <f>VLOOKUP($B40,Form_SuperClassico!$C$3:$W$149,3,FALSE)</f>
        <v>2</v>
      </c>
      <c r="R40" s="47" t="str">
        <f t="shared" si="7"/>
        <v>visita</v>
      </c>
      <c r="S40" s="48">
        <f>IF(O40=SC!O$25,IF(SC!Q$25=Q40,3.4,IF(R40=SC!R$25,1.7,0)),IF(R40=SC!R$25,1.7,0))*IF(COUNTIF($R$30:R$50,R40)=1,2,1)</f>
        <v>3.4</v>
      </c>
      <c r="T40" s="41"/>
      <c r="U40" s="90">
        <f>VLOOKUP($B40,Form_SuperClassico!$C$3:$W$149,2,FALSE)</f>
        <v>1</v>
      </c>
      <c r="V40" s="93" t="s">
        <v>98</v>
      </c>
      <c r="W40" s="90">
        <f>VLOOKUP($B40,Form_SuperClassico!$C$3:$W$149,3,FALSE)</f>
        <v>2</v>
      </c>
      <c r="X40" s="47" t="str">
        <f t="shared" si="8"/>
        <v>visita</v>
      </c>
      <c r="Y40" s="48">
        <f>IF(U40=SC!U$25,IF(SC!W$25=W40,3.4,IF(X40=SC!X$25,1.7,0)),IF(X40=SC!X$25,1.7,0))*IF(COUNTIF($X$30:X$50,X40)=1,2,1)</f>
        <v>0</v>
      </c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</row>
    <row r="41" ht="14.25" customHeight="1">
      <c r="A41" s="41"/>
      <c r="B41" s="51" t="s">
        <v>13</v>
      </c>
      <c r="C41" s="90">
        <f>VLOOKUP($B41,Form_SuperClassico!$C$69:$E$89,2,FALSE)</f>
        <v>2</v>
      </c>
      <c r="D41" s="92" t="s">
        <v>98</v>
      </c>
      <c r="E41" s="90">
        <f>VLOOKUP($B41,Form_SuperClassico!$C$69:$E$89,3,FALSE)</f>
        <v>0</v>
      </c>
      <c r="F41" s="47" t="str">
        <f t="shared" si="5"/>
        <v>casa</v>
      </c>
      <c r="G41" s="48">
        <f>IF(C41=SC!C$51,IF(SC!E$51=E41,3.4,IF(F41=SC!F$51,1.7,0)),IF(F41=SC!F$51,1.7,0))*IF(COUNTIF($F$30:F$50,F41)=1,2,1)</f>
        <v>1.7</v>
      </c>
      <c r="H41" s="40"/>
      <c r="I41" s="97">
        <f>VLOOKUP($B41,Form_SuperClassico!$C$91:$E$129,2,FALSE)</f>
        <v>1</v>
      </c>
      <c r="J41" s="92" t="s">
        <v>98</v>
      </c>
      <c r="K41" s="97">
        <f>VLOOKUP($B41,Form_SuperClassico!$C$91:$E$129,3,FALSE)</f>
        <v>0</v>
      </c>
      <c r="L41" s="47" t="str">
        <f t="shared" si="6"/>
        <v>casa</v>
      </c>
      <c r="M41" s="48">
        <f>IF(I41=SC!I$51,IF(SC!K$51=K41,3.4,IF(L41=SC!L$51,1.7,0)),IF(L41=SC!L$51,1.7,0))*IF(COUNTIF($L$30:L$50,L41)=1,2,1)</f>
        <v>0</v>
      </c>
      <c r="N41" s="41"/>
      <c r="O41" s="90">
        <f>VLOOKUP($B41,Form_SuperClassico!$C$3:$W$149,2,FALSE)</f>
        <v>2</v>
      </c>
      <c r="P41" s="92" t="s">
        <v>98</v>
      </c>
      <c r="Q41" s="90">
        <f>VLOOKUP($B41,Form_SuperClassico!$C$3:$W$149,3,FALSE)</f>
        <v>1</v>
      </c>
      <c r="R41" s="47" t="str">
        <f t="shared" si="7"/>
        <v>casa</v>
      </c>
      <c r="S41" s="48">
        <f>IF(O41=SC!O$25,IF(SC!Q$25=Q41,3.4,IF(R41=SC!R$25,1.7,0)),IF(R41=SC!R$25,1.7,0))*IF(COUNTIF($R$30:R$50,R41)=1,2,1)</f>
        <v>0</v>
      </c>
      <c r="T41" s="41"/>
      <c r="U41" s="90">
        <f>VLOOKUP($B41,Form_SuperClassico!$C$3:$W$149,2,FALSE)</f>
        <v>2</v>
      </c>
      <c r="V41" s="92" t="s">
        <v>98</v>
      </c>
      <c r="W41" s="90">
        <f>VLOOKUP($B41,Form_SuperClassico!$C$3:$W$149,3,FALSE)</f>
        <v>1</v>
      </c>
      <c r="X41" s="47" t="str">
        <f t="shared" si="8"/>
        <v>casa</v>
      </c>
      <c r="Y41" s="48">
        <f>IF(U41=SC!U$25,IF(SC!W$25=W41,3.4,IF(X41=SC!X$25,1.7,0)),IF(X41=SC!X$25,1.7,0))*IF(COUNTIF($X$30:X$50,X41)=1,2,1)</f>
        <v>1.7</v>
      </c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</row>
    <row r="42" ht="14.25" customHeight="1">
      <c r="A42" s="41"/>
      <c r="B42" s="51" t="s">
        <v>14</v>
      </c>
      <c r="C42" s="90">
        <f>VLOOKUP($B42,Form_SuperClassico!$C$69:$E$89,2,FALSE)</f>
        <v>1</v>
      </c>
      <c r="D42" s="92" t="s">
        <v>98</v>
      </c>
      <c r="E42" s="90">
        <f>VLOOKUP($B42,Form_SuperClassico!$C$69:$E$89,3,FALSE)</f>
        <v>0</v>
      </c>
      <c r="F42" s="47" t="str">
        <f t="shared" si="5"/>
        <v>casa</v>
      </c>
      <c r="G42" s="48">
        <f>IF(C42=SC!C$51,IF(SC!E$51=E42,3.4,IF(F42=SC!F$51,1.7,0)),IF(F42=SC!F$51,1.7,0))*IF(COUNTIF($F$30:F$50,F42)=1,2,1)</f>
        <v>1.7</v>
      </c>
      <c r="H42" s="40"/>
      <c r="I42" s="97">
        <f>VLOOKUP($B42,Form_SuperClassico!$C$91:$E$129,2,FALSE)</f>
        <v>1</v>
      </c>
      <c r="J42" s="92" t="s">
        <v>98</v>
      </c>
      <c r="K42" s="97">
        <f>VLOOKUP($B42,Form_SuperClassico!$C$91:$E$129,3,FALSE)</f>
        <v>2</v>
      </c>
      <c r="L42" s="47" t="str">
        <f t="shared" si="6"/>
        <v>visita</v>
      </c>
      <c r="M42" s="48">
        <f>IF(I42=SC!I$51,IF(SC!K$51=K42,3.4,IF(L42=SC!L$51,1.7,0)),IF(L42=SC!L$51,1.7,0))*IF(COUNTIF($L$30:L$50,L42)=1,2,1)</f>
        <v>3.4</v>
      </c>
      <c r="N42" s="41"/>
      <c r="O42" s="90">
        <f>VLOOKUP($B42,Form_SuperClassico!$C$3:$W$149,2,FALSE)</f>
        <v>2</v>
      </c>
      <c r="P42" s="92" t="s">
        <v>98</v>
      </c>
      <c r="Q42" s="90">
        <f>VLOOKUP($B42,Form_SuperClassico!$C$3:$W$149,3,FALSE)</f>
        <v>1</v>
      </c>
      <c r="R42" s="47" t="str">
        <f t="shared" si="7"/>
        <v>casa</v>
      </c>
      <c r="S42" s="48">
        <f>IF(O42=SC!O$25,IF(SC!Q$25=Q42,3.4,IF(R42=SC!R$25,1.7,0)),IF(R42=SC!R$25,1.7,0))*IF(COUNTIF($R$30:R$50,R42)=1,2,1)</f>
        <v>0</v>
      </c>
      <c r="T42" s="41"/>
      <c r="U42" s="90">
        <f>VLOOKUP($B42,Form_SuperClassico!$C$3:$W$149,2,FALSE)</f>
        <v>2</v>
      </c>
      <c r="V42" s="92" t="s">
        <v>98</v>
      </c>
      <c r="W42" s="90">
        <f>VLOOKUP($B42,Form_SuperClassico!$C$3:$W$149,3,FALSE)</f>
        <v>1</v>
      </c>
      <c r="X42" s="47" t="str">
        <f t="shared" si="8"/>
        <v>casa</v>
      </c>
      <c r="Y42" s="48">
        <f>IF(U42=SC!U$25,IF(SC!W$25=W42,3.4,IF(X42=SC!X$25,1.7,0)),IF(X42=SC!X$25,1.7,0))*IF(COUNTIF($X$30:X$50,X42)=1,2,1)</f>
        <v>1.7</v>
      </c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</row>
    <row r="43" ht="14.25" customHeight="1">
      <c r="A43" s="41"/>
      <c r="B43" s="51" t="s">
        <v>15</v>
      </c>
      <c r="C43" s="90">
        <f>VLOOKUP($B43,Form_SuperClassico!$C$69:$E$89,2,FALSE)</f>
        <v>2</v>
      </c>
      <c r="D43" s="92" t="s">
        <v>98</v>
      </c>
      <c r="E43" s="90">
        <f>VLOOKUP($B43,Form_SuperClassico!$C$69:$E$89,3,FALSE)</f>
        <v>1</v>
      </c>
      <c r="F43" s="47" t="str">
        <f t="shared" si="5"/>
        <v>casa</v>
      </c>
      <c r="G43" s="48">
        <f>IF(C43=SC!C$51,IF(SC!E$51=E43,3.4,IF(F43=SC!F$51,1.7,0)),IF(F43=SC!F$51,1.7,0))*IF(COUNTIF($F$30:F$50,F43)=1,2,1)</f>
        <v>1.7</v>
      </c>
      <c r="H43" s="40"/>
      <c r="I43" s="97">
        <f>VLOOKUP($B43,Form_SuperClassico!$C$91:$E$129,2,FALSE)</f>
        <v>3</v>
      </c>
      <c r="J43" s="92" t="s">
        <v>98</v>
      </c>
      <c r="K43" s="97">
        <f>VLOOKUP($B43,Form_SuperClassico!$C$91:$E$129,3,FALSE)</f>
        <v>1</v>
      </c>
      <c r="L43" s="47" t="str">
        <f t="shared" si="6"/>
        <v>casa</v>
      </c>
      <c r="M43" s="48">
        <f>IF(I43=SC!I$51,IF(SC!K$51=K43,3.4,IF(L43=SC!L$51,1.7,0)),IF(L43=SC!L$51,1.7,0))*IF(COUNTIF($L$30:L$50,L43)=1,2,1)</f>
        <v>0</v>
      </c>
      <c r="N43" s="41"/>
      <c r="O43" s="90">
        <f>VLOOKUP($B43,Form_SuperClassico!$C$3:$W$149,2,FALSE)</f>
        <v>1</v>
      </c>
      <c r="P43" s="92" t="s">
        <v>98</v>
      </c>
      <c r="Q43" s="90">
        <f>VLOOKUP($B43,Form_SuperClassico!$C$3:$W$149,3,FALSE)</f>
        <v>2</v>
      </c>
      <c r="R43" s="47" t="str">
        <f t="shared" si="7"/>
        <v>visita</v>
      </c>
      <c r="S43" s="48">
        <f>IF(O43=SC!O$25,IF(SC!Q$25=Q43,3.4,IF(R43=SC!R$25,1.7,0)),IF(R43=SC!R$25,1.7,0))*IF(COUNTIF($R$30:R$50,R43)=1,2,1)</f>
        <v>3.4</v>
      </c>
      <c r="T43" s="41"/>
      <c r="U43" s="90">
        <f>VLOOKUP($B43,Form_SuperClassico!$C$3:$W$149,2,FALSE)</f>
        <v>1</v>
      </c>
      <c r="V43" s="92" t="s">
        <v>98</v>
      </c>
      <c r="W43" s="90">
        <f>VLOOKUP($B43,Form_SuperClassico!$C$3:$W$149,3,FALSE)</f>
        <v>2</v>
      </c>
      <c r="X43" s="47" t="str">
        <f t="shared" si="8"/>
        <v>visita</v>
      </c>
      <c r="Y43" s="48">
        <f>IF(U43=SC!U$25,IF(SC!W$25=W43,3.4,IF(X43=SC!X$25,1.7,0)),IF(X43=SC!X$25,1.7,0))*IF(COUNTIF($X$30:X$50,X43)=1,2,1)</f>
        <v>0</v>
      </c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</row>
    <row r="44" ht="14.25" customHeight="1">
      <c r="A44" s="41"/>
      <c r="B44" s="51" t="s">
        <v>16</v>
      </c>
      <c r="C44" s="90">
        <f>VLOOKUP($B44,Form_SuperClassico!$C$69:$E$89,2,FALSE)</f>
        <v>2</v>
      </c>
      <c r="D44" s="92" t="s">
        <v>98</v>
      </c>
      <c r="E44" s="90">
        <f>VLOOKUP($B44,Form_SuperClassico!$C$69:$E$89,3,FALSE)</f>
        <v>2</v>
      </c>
      <c r="F44" s="47" t="str">
        <f t="shared" si="5"/>
        <v>empate</v>
      </c>
      <c r="G44" s="48">
        <f>IF(C44=SC!C$51,IF(SC!E$51=E44,3.4,IF(F44=SC!F$51,1.7,0)),IF(F44=SC!F$51,1.7,0))*IF(COUNTIF($F$30:F$50,F44)=1,2,1)</f>
        <v>0</v>
      </c>
      <c r="H44" s="40"/>
      <c r="I44" s="97">
        <f>VLOOKUP($B44,Form_SuperClassico!$C$91:$E$129,2,FALSE)</f>
        <v>1</v>
      </c>
      <c r="J44" s="92" t="s">
        <v>98</v>
      </c>
      <c r="K44" s="97">
        <f>VLOOKUP($B44,Form_SuperClassico!$C$91:$E$129,3,FALSE)</f>
        <v>3</v>
      </c>
      <c r="L44" s="47" t="str">
        <f t="shared" si="6"/>
        <v>visita</v>
      </c>
      <c r="M44" s="48">
        <f>IF(I44=SC!I$51,IF(SC!K$51=K44,3.4,IF(L44=SC!L$51,1.7,0)),IF(L44=SC!L$51,1.7,0))*IF(COUNTIF($L$30:L$50,L44)=1,2,1)</f>
        <v>1.7</v>
      </c>
      <c r="N44" s="41"/>
      <c r="O44" s="90">
        <f>VLOOKUP($B44,Form_SuperClassico!$C$3:$W$149,2,FALSE)</f>
        <v>1</v>
      </c>
      <c r="P44" s="92" t="s">
        <v>98</v>
      </c>
      <c r="Q44" s="90">
        <f>VLOOKUP($B44,Form_SuperClassico!$C$3:$W$149,3,FALSE)</f>
        <v>3</v>
      </c>
      <c r="R44" s="47" t="str">
        <f t="shared" si="7"/>
        <v>visita</v>
      </c>
      <c r="S44" s="48">
        <f>IF(O44=SC!O$25,IF(SC!Q$25=Q44,3.4,IF(R44=SC!R$25,1.7,0)),IF(R44=SC!R$25,1.7,0))*IF(COUNTIF($R$30:R$50,R44)=1,2,1)</f>
        <v>1.7</v>
      </c>
      <c r="T44" s="41"/>
      <c r="U44" s="90">
        <f>VLOOKUP($B44,Form_SuperClassico!$C$3:$W$149,2,FALSE)</f>
        <v>1</v>
      </c>
      <c r="V44" s="92" t="s">
        <v>98</v>
      </c>
      <c r="W44" s="90">
        <f>VLOOKUP($B44,Form_SuperClassico!$C$3:$W$149,3,FALSE)</f>
        <v>3</v>
      </c>
      <c r="X44" s="47" t="str">
        <f t="shared" si="8"/>
        <v>visita</v>
      </c>
      <c r="Y44" s="48">
        <f>IF(U44=SC!U$25,IF(SC!W$25=W44,3.4,IF(X44=SC!X$25,1.7,0)),IF(X44=SC!X$25,1.7,0))*IF(COUNTIF($X$30:X$50,X44)=1,2,1)</f>
        <v>0</v>
      </c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</row>
    <row r="45" ht="14.25" customHeight="1">
      <c r="A45" s="41"/>
      <c r="B45" s="51" t="s">
        <v>17</v>
      </c>
      <c r="C45" s="90">
        <f>VLOOKUP($B45,Form_SuperClassico!$C$69:$E$89,2,FALSE)</f>
        <v>2</v>
      </c>
      <c r="D45" s="92" t="s">
        <v>98</v>
      </c>
      <c r="E45" s="90">
        <f>VLOOKUP($B45,Form_SuperClassico!$C$69:$E$89,3,FALSE)</f>
        <v>1</v>
      </c>
      <c r="F45" s="47" t="str">
        <f t="shared" si="5"/>
        <v>casa</v>
      </c>
      <c r="G45" s="48">
        <f>IF(C45=SC!C$51,IF(SC!E$51=E45,3.4,IF(F45=SC!F$51,1.7,0)),IF(F45=SC!F$51,1.7,0))*IF(COUNTIF($F$30:F$50,F45)=1,2,1)</f>
        <v>1.7</v>
      </c>
      <c r="H45" s="40"/>
      <c r="I45" s="97">
        <f>VLOOKUP($B45,Form_SuperClassico!$C$91:$E$129,2,FALSE)</f>
        <v>2</v>
      </c>
      <c r="J45" s="92" t="s">
        <v>98</v>
      </c>
      <c r="K45" s="97">
        <f>VLOOKUP($B45,Form_SuperClassico!$C$91:$E$129,3,FALSE)</f>
        <v>1</v>
      </c>
      <c r="L45" s="47" t="str">
        <f t="shared" si="6"/>
        <v>casa</v>
      </c>
      <c r="M45" s="48">
        <f>IF(I45=SC!I$51,IF(SC!K$51=K45,3.4,IF(L45=SC!L$51,1.7,0)),IF(L45=SC!L$51,1.7,0))*IF(COUNTIF($L$30:L$50,L45)=1,2,1)</f>
        <v>0</v>
      </c>
      <c r="N45" s="41"/>
      <c r="O45" s="90">
        <f>VLOOKUP($B45,Form_SuperClassico!$C$3:$W$149,2,FALSE)</f>
        <v>3</v>
      </c>
      <c r="P45" s="92" t="s">
        <v>98</v>
      </c>
      <c r="Q45" s="90">
        <f>VLOOKUP($B45,Form_SuperClassico!$C$3:$W$149,3,FALSE)</f>
        <v>1</v>
      </c>
      <c r="R45" s="47" t="str">
        <f t="shared" si="7"/>
        <v>casa</v>
      </c>
      <c r="S45" s="48">
        <f>IF(O45=SC!O$25,IF(SC!Q$25=Q45,3.4,IF(R45=SC!R$25,1.7,0)),IF(R45=SC!R$25,1.7,0))*IF(COUNTIF($R$30:R$50,R45)=1,2,1)</f>
        <v>0</v>
      </c>
      <c r="T45" s="41"/>
      <c r="U45" s="90">
        <f>VLOOKUP($B45,Form_SuperClassico!$C$3:$W$149,2,FALSE)</f>
        <v>3</v>
      </c>
      <c r="V45" s="92" t="s">
        <v>98</v>
      </c>
      <c r="W45" s="90">
        <f>VLOOKUP($B45,Form_SuperClassico!$C$3:$W$149,3,FALSE)</f>
        <v>1</v>
      </c>
      <c r="X45" s="47" t="str">
        <f t="shared" si="8"/>
        <v>casa</v>
      </c>
      <c r="Y45" s="48">
        <f>IF(U45=SC!U$25,IF(SC!W$25=W45,3.4,IF(X45=SC!X$25,1.7,0)),IF(X45=SC!X$25,1.7,0))*IF(COUNTIF($X$30:X$50,X45)=1,2,1)</f>
        <v>1.7</v>
      </c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</row>
    <row r="46" ht="14.25" customHeight="1">
      <c r="A46" s="41"/>
      <c r="B46" s="51" t="s">
        <v>18</v>
      </c>
      <c r="C46" s="90">
        <f>VLOOKUP($B46,Form_SuperClassico!$C$69:$E$89,2,FALSE)</f>
        <v>3</v>
      </c>
      <c r="D46" s="92" t="s">
        <v>98</v>
      </c>
      <c r="E46" s="90">
        <f>VLOOKUP($B46,Form_SuperClassico!$C$69:$E$89,3,FALSE)</f>
        <v>2</v>
      </c>
      <c r="F46" s="47" t="str">
        <f t="shared" si="5"/>
        <v>casa</v>
      </c>
      <c r="G46" s="48">
        <f>IF(C46=SC!C$51,IF(SC!E$51=E46,3.4,IF(F46=SC!F$51,1.7,0)),IF(F46=SC!F$51,1.7,0))*IF(COUNTIF($F$30:F$50,F46)=1,2,1)</f>
        <v>1.7</v>
      </c>
      <c r="H46" s="40"/>
      <c r="I46" s="97">
        <f>VLOOKUP($B46,Form_SuperClassico!$C$91:$E$129,2,FALSE)</f>
        <v>1</v>
      </c>
      <c r="J46" s="92" t="s">
        <v>98</v>
      </c>
      <c r="K46" s="97">
        <f>VLOOKUP($B46,Form_SuperClassico!$C$91:$E$129,3,FALSE)</f>
        <v>2</v>
      </c>
      <c r="L46" s="47" t="str">
        <f t="shared" si="6"/>
        <v>visita</v>
      </c>
      <c r="M46" s="48">
        <f>IF(I46=SC!I$51,IF(SC!K$51=K46,3.4,IF(L46=SC!L$51,1.7,0)),IF(L46=SC!L$51,1.7,0))*IF(COUNTIF($L$30:L$50,L46)=1,2,1)</f>
        <v>3.4</v>
      </c>
      <c r="N46" s="41"/>
      <c r="O46" s="90">
        <f>VLOOKUP($B46,Form_SuperClassico!$C$3:$W$149,2,FALSE)</f>
        <v>2</v>
      </c>
      <c r="P46" s="92" t="s">
        <v>98</v>
      </c>
      <c r="Q46" s="90">
        <f>VLOOKUP($B46,Form_SuperClassico!$C$3:$W$149,3,FALSE)</f>
        <v>2</v>
      </c>
      <c r="R46" s="47" t="str">
        <f t="shared" si="7"/>
        <v>empate</v>
      </c>
      <c r="S46" s="48">
        <f>IF(O46=SC!O$25,IF(SC!Q$25=Q46,3.4,IF(R46=SC!R$25,1.7,0)),IF(R46=SC!R$25,1.7,0))*IF(COUNTIF($R$30:R$50,R46)=1,2,1)</f>
        <v>0</v>
      </c>
      <c r="T46" s="41"/>
      <c r="U46" s="90">
        <f>VLOOKUP($B46,Form_SuperClassico!$C$3:$W$149,2,FALSE)</f>
        <v>2</v>
      </c>
      <c r="V46" s="92" t="s">
        <v>98</v>
      </c>
      <c r="W46" s="90">
        <f>VLOOKUP($B46,Form_SuperClassico!$C$3:$W$149,3,FALSE)</f>
        <v>2</v>
      </c>
      <c r="X46" s="47" t="str">
        <f t="shared" si="8"/>
        <v>empate</v>
      </c>
      <c r="Y46" s="48">
        <f>IF(U46=SC!U$25,IF(SC!W$25=W46,3.4,IF(X46=SC!X$25,1.7,0)),IF(X46=SC!X$25,1.7,0))*IF(COUNTIF($X$30:X$50,X46)=1,2,1)</f>
        <v>0</v>
      </c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</row>
    <row r="47" ht="14.25" customHeight="1">
      <c r="A47" s="41"/>
      <c r="B47" s="51" t="s">
        <v>19</v>
      </c>
      <c r="C47" s="90">
        <f>VLOOKUP($B47,Form_SuperClassico!$C$69:$E$89,2,FALSE)</f>
        <v>3</v>
      </c>
      <c r="D47" s="92" t="s">
        <v>98</v>
      </c>
      <c r="E47" s="90">
        <f>VLOOKUP($B47,Form_SuperClassico!$C$69:$E$89,3,FALSE)</f>
        <v>1</v>
      </c>
      <c r="F47" s="47" t="str">
        <f t="shared" si="5"/>
        <v>casa</v>
      </c>
      <c r="G47" s="48">
        <f>IF(C47=SC!C$51,IF(SC!E$51=E47,3.4,IF(F47=SC!F$51,1.7,0)),IF(F47=SC!F$51,1.7,0))*IF(COUNTIF($F$30:F$50,F47)=1,2,1)</f>
        <v>1.7</v>
      </c>
      <c r="H47" s="40"/>
      <c r="I47" s="97">
        <f>VLOOKUP($B47,Form_SuperClassico!$C$91:$E$129,2,FALSE)</f>
        <v>0</v>
      </c>
      <c r="J47" s="92" t="s">
        <v>98</v>
      </c>
      <c r="K47" s="97">
        <f>VLOOKUP($B47,Form_SuperClassico!$C$91:$E$129,3,FALSE)</f>
        <v>2</v>
      </c>
      <c r="L47" s="47" t="str">
        <f t="shared" si="6"/>
        <v>visita</v>
      </c>
      <c r="M47" s="48">
        <f>IF(I47=SC!I$51,IF(SC!K$51=K47,3.4,IF(L47=SC!L$51,1.7,0)),IF(L47=SC!L$51,1.7,0))*IF(COUNTIF($L$30:L$50,L47)=1,2,1)</f>
        <v>1.7</v>
      </c>
      <c r="N47" s="41"/>
      <c r="O47" s="90">
        <f>VLOOKUP($B47,Form_SuperClassico!$C$3:$W$149,2,FALSE)</f>
        <v>1</v>
      </c>
      <c r="P47" s="92" t="s">
        <v>98</v>
      </c>
      <c r="Q47" s="90">
        <f>VLOOKUP($B47,Form_SuperClassico!$C$3:$W$149,3,FALSE)</f>
        <v>1</v>
      </c>
      <c r="R47" s="47" t="str">
        <f t="shared" si="7"/>
        <v>empate</v>
      </c>
      <c r="S47" s="48">
        <f>IF(O47=SC!O$25,IF(SC!Q$25=Q47,3.4,IF(R47=SC!R$25,1.7,0)),IF(R47=SC!R$25,1.7,0))*IF(COUNTIF($R$30:R$50,R47)=1,2,1)</f>
        <v>0</v>
      </c>
      <c r="T47" s="41"/>
      <c r="U47" s="90">
        <f>VLOOKUP($B47,Form_SuperClassico!$C$3:$W$149,2,FALSE)</f>
        <v>1</v>
      </c>
      <c r="V47" s="92" t="s">
        <v>98</v>
      </c>
      <c r="W47" s="90">
        <f>VLOOKUP($B47,Form_SuperClassico!$C$3:$W$149,3,FALSE)</f>
        <v>1</v>
      </c>
      <c r="X47" s="47" t="str">
        <f t="shared" si="8"/>
        <v>empate</v>
      </c>
      <c r="Y47" s="48">
        <f>IF(U47=SC!U$25,IF(SC!W$25=W47,3.4,IF(X47=SC!X$25,1.7,0)),IF(X47=SC!X$25,1.7,0))*IF(COUNTIF($X$30:X$50,X47)=1,2,1)</f>
        <v>0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</row>
    <row r="48" ht="14.25" customHeight="1">
      <c r="A48" s="41"/>
      <c r="B48" s="52" t="s">
        <v>20</v>
      </c>
      <c r="C48" s="90">
        <f>VLOOKUP($B48,Form_SuperClassico!$C$69:$E$89,2,FALSE)</f>
        <v>3</v>
      </c>
      <c r="D48" s="92" t="s">
        <v>98</v>
      </c>
      <c r="E48" s="90">
        <f>VLOOKUP($B48,Form_SuperClassico!$C$69:$E$89,3,FALSE)</f>
        <v>2</v>
      </c>
      <c r="F48" s="47" t="str">
        <f t="shared" si="5"/>
        <v>casa</v>
      </c>
      <c r="G48" s="48">
        <f>IF(C48=SC!C$51,IF(SC!E$51=E48,3.4,IF(F48=SC!F$51,1.7,0)),IF(F48=SC!F$51,1.7,0))*IF(COUNTIF($F$30:F$50,F48)=1,2,1)</f>
        <v>1.7</v>
      </c>
      <c r="H48" s="40"/>
      <c r="I48" s="97">
        <f>VLOOKUP($B48,Form_SuperClassico!$C$91:$E$129,2,FALSE)</f>
        <v>2</v>
      </c>
      <c r="J48" s="92" t="s">
        <v>98</v>
      </c>
      <c r="K48" s="97">
        <f>VLOOKUP($B48,Form_SuperClassico!$C$91:$E$129,3,FALSE)</f>
        <v>2</v>
      </c>
      <c r="L48" s="47" t="str">
        <f t="shared" si="6"/>
        <v>empate</v>
      </c>
      <c r="M48" s="48">
        <f>IF(I48=SC!I$51,IF(SC!K$51=K48,3.4,IF(L48=SC!L$51,1.7,0)),IF(L48=SC!L$51,1.7,0))*IF(COUNTIF($L$30:L$50,L48)=1,2,1)</f>
        <v>0</v>
      </c>
      <c r="N48" s="41"/>
      <c r="O48" s="90">
        <f>VLOOKUP($B48,Form_SuperClassico!$C$3:$W$149,2,FALSE)</f>
        <v>1</v>
      </c>
      <c r="P48" s="92" t="s">
        <v>98</v>
      </c>
      <c r="Q48" s="90">
        <f>VLOOKUP($B48,Form_SuperClassico!$C$3:$W$149,3,FALSE)</f>
        <v>2</v>
      </c>
      <c r="R48" s="47" t="str">
        <f t="shared" si="7"/>
        <v>visita</v>
      </c>
      <c r="S48" s="48">
        <f>IF(O48=SC!O$25,IF(SC!Q$25=Q48,3.4,IF(R48=SC!R$25,1.7,0)),IF(R48=SC!R$25,1.7,0))*IF(COUNTIF($R$30:R$50,R48)=1,2,1)</f>
        <v>3.4</v>
      </c>
      <c r="T48" s="41"/>
      <c r="U48" s="90">
        <f>VLOOKUP($B48,Form_SuperClassico!$C$3:$W$149,2,FALSE)</f>
        <v>1</v>
      </c>
      <c r="V48" s="92" t="s">
        <v>98</v>
      </c>
      <c r="W48" s="90">
        <f>VLOOKUP($B48,Form_SuperClassico!$C$3:$W$149,3,FALSE)</f>
        <v>2</v>
      </c>
      <c r="X48" s="47" t="str">
        <f t="shared" si="8"/>
        <v>visita</v>
      </c>
      <c r="Y48" s="48">
        <f>IF(U48=SC!U$25,IF(SC!W$25=W48,3.4,IF(X48=SC!X$25,1.7,0)),IF(X48=SC!X$25,1.7,0))*IF(COUNTIF($X$30:X$50,X48)=1,2,1)</f>
        <v>0</v>
      </c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</row>
    <row r="49" ht="14.25" customHeight="1">
      <c r="A49" s="41"/>
      <c r="B49" s="52" t="s">
        <v>21</v>
      </c>
      <c r="C49" s="90">
        <f>VLOOKUP($B49,Form_SuperClassico!$C$69:$E$89,2,FALSE)</f>
        <v>2</v>
      </c>
      <c r="D49" s="92" t="s">
        <v>98</v>
      </c>
      <c r="E49" s="90">
        <f>VLOOKUP($B49,Form_SuperClassico!$C$69:$E$89,3,FALSE)</f>
        <v>2</v>
      </c>
      <c r="F49" s="47" t="str">
        <f t="shared" si="5"/>
        <v>empate</v>
      </c>
      <c r="G49" s="48">
        <f>IF(C49=SC!C$51,IF(SC!E$51=E49,3.4,IF(F49=SC!F$51,1.7,0)),IF(F49=SC!F$51,1.7,0))*IF(COUNTIF($F$30:F$50,F49)=1,2,1)</f>
        <v>0</v>
      </c>
      <c r="H49" s="40"/>
      <c r="I49" s="97">
        <f>VLOOKUP($B49,Form_SuperClassico!$C$91:$E$129,2,FALSE)</f>
        <v>2</v>
      </c>
      <c r="J49" s="92" t="s">
        <v>98</v>
      </c>
      <c r="K49" s="97">
        <f>VLOOKUP($B49,Form_SuperClassico!$C$91:$E$129,3,FALSE)</f>
        <v>0</v>
      </c>
      <c r="L49" s="47" t="str">
        <f t="shared" si="6"/>
        <v>casa</v>
      </c>
      <c r="M49" s="48">
        <f>IF(I49=SC!I$51,IF(SC!K$51=K49,3.4,IF(L49=SC!L$51,1.7,0)),IF(L49=SC!L$51,1.7,0))*IF(COUNTIF($L$30:L$50,L49)=1,2,1)</f>
        <v>0</v>
      </c>
      <c r="N49" s="41"/>
      <c r="O49" s="90">
        <f>VLOOKUP($B49,Form_SuperClassico!$C$3:$W$149,2,FALSE)</f>
        <v>1</v>
      </c>
      <c r="P49" s="92" t="s">
        <v>98</v>
      </c>
      <c r="Q49" s="90">
        <f>VLOOKUP($B49,Form_SuperClassico!$C$3:$W$149,3,FALSE)</f>
        <v>3</v>
      </c>
      <c r="R49" s="47" t="str">
        <f t="shared" si="7"/>
        <v>visita</v>
      </c>
      <c r="S49" s="48">
        <f>IF(O49=SC!O$25,IF(SC!Q$25=Q49,3.4,IF(R49=SC!R$25,1.7,0)),IF(R49=SC!R$25,1.7,0))*IF(COUNTIF($R$30:R$50,R49)=1,2,1)</f>
        <v>1.7</v>
      </c>
      <c r="T49" s="41"/>
      <c r="U49" s="90">
        <f>VLOOKUP($B49,Form_SuperClassico!$C$3:$W$149,2,FALSE)</f>
        <v>1</v>
      </c>
      <c r="V49" s="92" t="s">
        <v>98</v>
      </c>
      <c r="W49" s="90">
        <f>VLOOKUP($B49,Form_SuperClassico!$C$3:$W$149,3,FALSE)</f>
        <v>3</v>
      </c>
      <c r="X49" s="47" t="str">
        <f t="shared" si="8"/>
        <v>visita</v>
      </c>
      <c r="Y49" s="48">
        <f>IF(U49=SC!U$25,IF(SC!W$25=W49,3.4,IF(X49=SC!X$25,1.7,0)),IF(X49=SC!X$25,1.7,0))*IF(COUNTIF($X$30:X$50,X49)=1,2,1)</f>
        <v>0</v>
      </c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</row>
    <row r="50" ht="14.25" customHeight="1">
      <c r="A50" s="56"/>
      <c r="B50" s="52" t="s">
        <v>22</v>
      </c>
      <c r="C50" s="90">
        <f>VLOOKUP($B50,Form_SuperClassico!$C$69:$E$89,2,FALSE)</f>
        <v>1</v>
      </c>
      <c r="D50" s="92" t="s">
        <v>98</v>
      </c>
      <c r="E50" s="90">
        <f>VLOOKUP($B50,Form_SuperClassico!$C$69:$E$89,3,FALSE)</f>
        <v>2</v>
      </c>
      <c r="F50" s="47" t="str">
        <f t="shared" si="5"/>
        <v>visita</v>
      </c>
      <c r="G50" s="48">
        <f>IF(C50=SC!C$51,IF(SC!E$51=E50,3.4,IF(F50=SC!F$51,1.7,0)),IF(F50=SC!F$51,1.7,0))*IF(COUNTIF($F$30:F$50,F50)=1,2,1)</f>
        <v>0</v>
      </c>
      <c r="H50" s="40"/>
      <c r="I50" s="97">
        <f>VLOOKUP($B50,Form_SuperClassico!$C$91:$E$129,2,FALSE)</f>
        <v>2</v>
      </c>
      <c r="J50" s="92" t="s">
        <v>98</v>
      </c>
      <c r="K50" s="97">
        <f>VLOOKUP($B50,Form_SuperClassico!$C$91:$E$129,3,FALSE)</f>
        <v>1</v>
      </c>
      <c r="L50" s="47" t="str">
        <f t="shared" si="6"/>
        <v>casa</v>
      </c>
      <c r="M50" s="48">
        <f>IF(I50=SC!I$51,IF(SC!K$51=K50,3.4,IF(L50=SC!L$51,1.7,0)),IF(L50=SC!L$51,1.7,0))*IF(COUNTIF($L$30:L$50,L50)=1,2,1)</f>
        <v>0</v>
      </c>
      <c r="N50" s="56"/>
      <c r="O50" s="90">
        <f>VLOOKUP($B50,Form_SuperClassico!$C$3:$W$149,2,FALSE)</f>
        <v>2</v>
      </c>
      <c r="P50" s="92" t="s">
        <v>98</v>
      </c>
      <c r="Q50" s="90">
        <f>VLOOKUP($B50,Form_SuperClassico!$C$3:$W$149,3,FALSE)</f>
        <v>1</v>
      </c>
      <c r="R50" s="47" t="str">
        <f t="shared" si="7"/>
        <v>casa</v>
      </c>
      <c r="S50" s="48">
        <f>IF(O50=SC!O$25,IF(SC!Q$25=Q50,3.4,IF(R50=SC!R$25,1.7,0)),IF(R50=SC!R$25,1.7,0))*IF(COUNTIF($R$30:R$50,R50)=1,2,1)</f>
        <v>0</v>
      </c>
      <c r="T50" s="56"/>
      <c r="U50" s="90">
        <f>VLOOKUP($B50,Form_SuperClassico!$C$3:$W$149,2,FALSE)</f>
        <v>2</v>
      </c>
      <c r="V50" s="92" t="s">
        <v>98</v>
      </c>
      <c r="W50" s="90">
        <f>VLOOKUP($B50,Form_SuperClassico!$C$3:$W$149,3,FALSE)</f>
        <v>1</v>
      </c>
      <c r="X50" s="47" t="str">
        <f t="shared" si="8"/>
        <v>casa</v>
      </c>
      <c r="Y50" s="48">
        <f>IF(U50=SC!U$25,IF(SC!W$25=W50,3.4,IF(X50=SC!X$25,1.7,0)),IF(X50=SC!X$25,1.7,0))*IF(COUNTIF($X$30:X$50,X50)=1,2,1)</f>
        <v>1.7</v>
      </c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</row>
    <row r="51" ht="14.25" customHeight="1">
      <c r="A51" s="56"/>
      <c r="B51" s="58" t="s">
        <v>1</v>
      </c>
      <c r="C51" s="94">
        <v>3.0</v>
      </c>
      <c r="D51" s="95" t="s">
        <v>98</v>
      </c>
      <c r="E51" s="95">
        <v>0.0</v>
      </c>
      <c r="F51" s="96" t="str">
        <f t="shared" si="5"/>
        <v>casa</v>
      </c>
      <c r="G51" s="55"/>
      <c r="H51" s="40"/>
      <c r="I51" s="94">
        <v>1.0</v>
      </c>
      <c r="J51" s="95" t="s">
        <v>98</v>
      </c>
      <c r="K51" s="95">
        <v>2.0</v>
      </c>
      <c r="L51" s="96" t="str">
        <f t="shared" si="6"/>
        <v>visita</v>
      </c>
      <c r="M51" s="55"/>
      <c r="N51" s="56"/>
      <c r="O51" s="94"/>
      <c r="P51" s="95" t="s">
        <v>98</v>
      </c>
      <c r="Q51" s="95"/>
      <c r="R51" s="96" t="str">
        <f t="shared" si="7"/>
        <v>empate</v>
      </c>
      <c r="S51" s="55"/>
      <c r="T51" s="56"/>
      <c r="U51" s="94"/>
      <c r="V51" s="95" t="s">
        <v>98</v>
      </c>
      <c r="W51" s="95"/>
      <c r="X51" s="96" t="str">
        <f t="shared" si="8"/>
        <v>empate</v>
      </c>
      <c r="Y51" s="55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</row>
    <row r="52" ht="14.25" customHeight="1">
      <c r="A52" s="41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</row>
    <row r="53" ht="14.25" customHeight="1">
      <c r="A53" s="41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</row>
    <row r="54" ht="14.25" customHeight="1">
      <c r="A54" s="41"/>
      <c r="B54" s="63" t="s">
        <v>2</v>
      </c>
      <c r="C54" s="40">
        <f t="shared" ref="C54:C74" si="9">G4+M4+S4+Y4+G30+M30</f>
        <v>5.1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</row>
    <row r="55" ht="14.25" customHeight="1">
      <c r="A55" s="41"/>
      <c r="B55" s="51" t="s">
        <v>3</v>
      </c>
      <c r="C55" s="40">
        <f t="shared" si="9"/>
        <v>1.7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</row>
    <row r="56" ht="14.25" customHeight="1">
      <c r="A56" s="41"/>
      <c r="B56" s="51" t="s">
        <v>4</v>
      </c>
      <c r="C56" s="40">
        <f t="shared" si="9"/>
        <v>1.7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</row>
    <row r="57" ht="14.25" customHeight="1">
      <c r="A57" s="41"/>
      <c r="B57" s="51" t="s">
        <v>5</v>
      </c>
      <c r="C57" s="40">
        <f t="shared" si="9"/>
        <v>5.1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</row>
    <row r="58" ht="14.25" customHeight="1">
      <c r="A58" s="41"/>
      <c r="B58" s="51" t="s">
        <v>6</v>
      </c>
      <c r="C58" s="40">
        <f t="shared" si="9"/>
        <v>3.4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1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</row>
    <row r="59" ht="14.25" customHeight="1">
      <c r="A59" s="41"/>
      <c r="B59" s="51" t="s">
        <v>7</v>
      </c>
      <c r="C59" s="40">
        <f t="shared" si="9"/>
        <v>5.1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1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</row>
    <row r="60" ht="14.25" customHeight="1">
      <c r="A60" s="41"/>
      <c r="B60" s="51" t="s">
        <v>8</v>
      </c>
      <c r="C60" s="40">
        <f t="shared" si="9"/>
        <v>6.8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1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</row>
    <row r="61" ht="14.25" customHeight="1">
      <c r="A61" s="41"/>
      <c r="B61" s="51" t="s">
        <v>9</v>
      </c>
      <c r="C61" s="40">
        <f t="shared" si="9"/>
        <v>1.7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1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</row>
    <row r="62" ht="14.25" customHeight="1">
      <c r="A62" s="41"/>
      <c r="B62" s="51" t="s">
        <v>10</v>
      </c>
      <c r="C62" s="40">
        <f t="shared" si="9"/>
        <v>3.4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1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</row>
    <row r="63" ht="14.25" customHeight="1">
      <c r="A63" s="41"/>
      <c r="B63" s="51" t="s">
        <v>11</v>
      </c>
      <c r="C63" s="40">
        <f t="shared" si="9"/>
        <v>5.1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1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</row>
    <row r="64" ht="14.25" customHeight="1">
      <c r="A64" s="41"/>
      <c r="B64" s="51" t="s">
        <v>12</v>
      </c>
      <c r="C64" s="40">
        <f t="shared" si="9"/>
        <v>3.4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1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</row>
    <row r="65" ht="14.25" customHeight="1">
      <c r="A65" s="41"/>
      <c r="B65" s="51" t="s">
        <v>13</v>
      </c>
      <c r="C65" s="40">
        <f t="shared" si="9"/>
        <v>3.4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1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</row>
    <row r="66" ht="14.25" customHeight="1">
      <c r="A66" s="41"/>
      <c r="B66" s="51" t="s">
        <v>14</v>
      </c>
      <c r="C66" s="40">
        <f t="shared" si="9"/>
        <v>8.5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1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</row>
    <row r="67" ht="14.25" customHeight="1">
      <c r="A67" s="41"/>
      <c r="B67" s="51" t="s">
        <v>15</v>
      </c>
      <c r="C67" s="40">
        <f t="shared" si="9"/>
        <v>1.7</v>
      </c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1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</row>
    <row r="68" ht="14.25" customHeight="1">
      <c r="A68" s="41"/>
      <c r="B68" s="51" t="s">
        <v>16</v>
      </c>
      <c r="C68" s="40">
        <f t="shared" si="9"/>
        <v>6.8</v>
      </c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1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</row>
    <row r="69" ht="14.25" customHeight="1">
      <c r="A69" s="41"/>
      <c r="B69" s="51" t="s">
        <v>17</v>
      </c>
      <c r="C69" s="40">
        <f t="shared" si="9"/>
        <v>6.8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1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</row>
    <row r="70" ht="14.25" customHeight="1">
      <c r="A70" s="41"/>
      <c r="B70" s="51" t="s">
        <v>18</v>
      </c>
      <c r="C70" s="40">
        <f t="shared" si="9"/>
        <v>6.8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1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</row>
    <row r="71" ht="14.25" customHeight="1">
      <c r="A71" s="41"/>
      <c r="B71" s="51" t="s">
        <v>19</v>
      </c>
      <c r="C71" s="40">
        <f t="shared" si="9"/>
        <v>5.1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</row>
    <row r="72" ht="14.25" customHeight="1">
      <c r="A72" s="41"/>
      <c r="B72" s="52" t="s">
        <v>20</v>
      </c>
      <c r="C72" s="40">
        <f t="shared" si="9"/>
        <v>1.7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1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</row>
    <row r="73" ht="14.25" customHeight="1">
      <c r="A73" s="41"/>
      <c r="B73" s="52" t="s">
        <v>21</v>
      </c>
      <c r="C73" s="40">
        <f t="shared" si="9"/>
        <v>3.4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</row>
    <row r="74" ht="14.25" customHeight="1">
      <c r="A74" s="41"/>
      <c r="B74" s="52" t="s">
        <v>22</v>
      </c>
      <c r="C74" s="40">
        <f t="shared" si="9"/>
        <v>3.4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</row>
    <row r="75" ht="14.25" customHeight="1">
      <c r="A75" s="41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</row>
    <row r="76" ht="14.25" customHeight="1">
      <c r="A76" s="41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</row>
    <row r="77" ht="14.25" customHeight="1">
      <c r="A77" s="41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</row>
    <row r="78" ht="14.25" customHeight="1">
      <c r="A78" s="41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</row>
    <row r="79" ht="14.25" customHeight="1">
      <c r="A79" s="41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</row>
    <row r="80" ht="14.25" customHeight="1">
      <c r="A80" s="41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</row>
    <row r="81" ht="14.25" customHeight="1">
      <c r="A81" s="41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</row>
    <row r="82" ht="14.25" customHeight="1">
      <c r="A82" s="41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</row>
    <row r="83" ht="14.25" customHeight="1">
      <c r="A83" s="41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</row>
    <row r="84" ht="14.25" customHeight="1">
      <c r="A84" s="41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</row>
    <row r="85" ht="14.25" customHeight="1">
      <c r="A85" s="41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</row>
    <row r="86" ht="14.25" customHeight="1">
      <c r="A86" s="41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</row>
    <row r="87" ht="14.25" customHeight="1">
      <c r="A87" s="41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</row>
    <row r="88" ht="14.25" customHeight="1">
      <c r="A88" s="41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</row>
    <row r="89" ht="14.25" customHeight="1">
      <c r="A89" s="41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</row>
    <row r="90" ht="14.25" customHeight="1">
      <c r="A90" s="41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</row>
    <row r="91" ht="14.25" customHeight="1">
      <c r="A91" s="41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</row>
    <row r="92" ht="14.25" customHeight="1">
      <c r="A92" s="41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</row>
    <row r="93" ht="14.25" customHeight="1">
      <c r="A93" s="41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</row>
    <row r="94" ht="14.25" customHeight="1">
      <c r="A94" s="41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</row>
    <row r="95" ht="14.25" customHeight="1">
      <c r="A95" s="41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</row>
    <row r="96" ht="14.25" customHeight="1">
      <c r="A96" s="41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</row>
    <row r="97" ht="14.25" customHeight="1">
      <c r="A97" s="41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</row>
    <row r="98" ht="14.25" customHeight="1">
      <c r="A98" s="41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</row>
    <row r="99" ht="14.25" customHeight="1">
      <c r="A99" s="41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</row>
    <row r="100" ht="14.25" customHeight="1">
      <c r="A100" s="41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</row>
    <row r="101" ht="14.25" customHeight="1">
      <c r="A101" s="41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</row>
    <row r="102" ht="14.25" customHeight="1">
      <c r="A102" s="41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</row>
    <row r="103" ht="14.25" customHeight="1">
      <c r="A103" s="41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</row>
    <row r="104" ht="14.25" customHeight="1">
      <c r="A104" s="41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</row>
    <row r="105" ht="14.25" customHeight="1">
      <c r="A105" s="41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</row>
    <row r="106" ht="14.25" customHeight="1">
      <c r="A106" s="41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</row>
    <row r="107" ht="14.25" customHeight="1">
      <c r="A107" s="41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</row>
    <row r="108" ht="14.25" customHeight="1">
      <c r="A108" s="41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</row>
    <row r="109" ht="14.25" customHeight="1">
      <c r="A109" s="41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</row>
    <row r="110" ht="14.25" customHeight="1">
      <c r="A110" s="41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</row>
    <row r="111" ht="14.25" customHeight="1">
      <c r="A111" s="41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</row>
    <row r="112" ht="14.25" customHeight="1">
      <c r="A112" s="41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</row>
    <row r="113" ht="14.25" customHeight="1">
      <c r="A113" s="41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</row>
    <row r="114" ht="14.25" customHeight="1">
      <c r="A114" s="41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</row>
    <row r="115" ht="14.25" customHeight="1">
      <c r="A115" s="41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</row>
    <row r="116" ht="14.25" customHeight="1">
      <c r="A116" s="41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</row>
    <row r="117" ht="14.25" customHeight="1">
      <c r="A117" s="41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</row>
    <row r="118" ht="14.25" customHeight="1">
      <c r="A118" s="41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</row>
    <row r="119" ht="14.25" customHeight="1">
      <c r="A119" s="41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</row>
    <row r="120" ht="14.25" customHeight="1">
      <c r="A120" s="41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</row>
    <row r="121" ht="14.25" customHeight="1">
      <c r="A121" s="4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</row>
    <row r="122" ht="14.25" customHeight="1">
      <c r="A122" s="4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</row>
    <row r="123" ht="14.25" customHeight="1">
      <c r="A123" s="41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</row>
    <row r="124" ht="14.25" customHeight="1">
      <c r="A124" s="4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</row>
    <row r="125" ht="14.25" customHeight="1">
      <c r="A125" s="41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</row>
    <row r="126" ht="14.25" customHeight="1">
      <c r="A126" s="41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</row>
    <row r="127" ht="14.25" customHeight="1">
      <c r="A127" s="41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</row>
    <row r="128" ht="14.25" customHeight="1">
      <c r="A128" s="41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</row>
    <row r="129" ht="14.25" customHeight="1">
      <c r="A129" s="41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</row>
    <row r="130" ht="14.25" customHeight="1">
      <c r="A130" s="41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</row>
    <row r="131" ht="14.25" customHeight="1">
      <c r="A131" s="41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</row>
    <row r="132" ht="14.25" customHeight="1">
      <c r="A132" s="41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</row>
    <row r="133" ht="14.25" customHeight="1">
      <c r="A133" s="41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</row>
    <row r="134" ht="14.25" customHeight="1">
      <c r="A134" s="41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</row>
    <row r="135" ht="14.25" customHeight="1">
      <c r="A135" s="41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</row>
    <row r="136" ht="14.25" customHeight="1">
      <c r="A136" s="41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</row>
    <row r="137" ht="14.25" customHeight="1">
      <c r="A137" s="41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</row>
    <row r="138" ht="14.25" customHeight="1">
      <c r="A138" s="41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</row>
    <row r="139" ht="14.25" customHeight="1">
      <c r="A139" s="41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</row>
    <row r="140" ht="14.25" customHeight="1">
      <c r="A140" s="41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</row>
    <row r="141" ht="14.25" customHeight="1">
      <c r="A141" s="41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</row>
    <row r="142" ht="14.25" customHeight="1">
      <c r="A142" s="41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</row>
    <row r="143" ht="14.25" customHeight="1">
      <c r="A143" s="41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</row>
    <row r="144" ht="14.25" customHeight="1">
      <c r="A144" s="41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</row>
    <row r="145" ht="14.25" customHeight="1">
      <c r="A145" s="41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</row>
    <row r="146" ht="14.25" customHeight="1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</row>
    <row r="147" ht="14.25" customHeight="1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</row>
    <row r="148" ht="14.25" customHeight="1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</row>
    <row r="149" ht="14.25" customHeight="1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</row>
    <row r="150" ht="14.25" customHeight="1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</row>
    <row r="151" ht="14.25" customHeight="1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</row>
    <row r="152" ht="14.25" customHeight="1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</row>
    <row r="153" ht="14.25" customHeight="1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</row>
    <row r="154" ht="14.25" customHeight="1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</row>
    <row r="155" ht="14.25" customHeight="1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</row>
    <row r="156" ht="14.25" customHeight="1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</row>
    <row r="157" ht="14.25" customHeight="1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</row>
    <row r="158" ht="14.25" customHeight="1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</row>
    <row r="159" ht="14.25" customHeight="1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</row>
    <row r="160" ht="14.25" customHeight="1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</row>
    <row r="161" ht="14.25" customHeight="1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</row>
    <row r="162" ht="14.25" customHeight="1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</row>
    <row r="163" ht="14.25" customHeight="1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</row>
    <row r="164" ht="14.25" customHeight="1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</row>
    <row r="165" ht="14.25" customHeight="1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</row>
    <row r="166" ht="14.25" customHeight="1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</row>
    <row r="167" ht="14.25" customHeight="1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</row>
    <row r="168" ht="14.25" customHeight="1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</row>
    <row r="169" ht="14.25" customHeight="1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</row>
    <row r="170" ht="14.25" customHeight="1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</row>
    <row r="171" ht="14.25" customHeight="1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</row>
    <row r="172" ht="14.25" customHeight="1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</row>
    <row r="173" ht="14.25" customHeight="1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</row>
    <row r="174" ht="14.25" customHeight="1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</row>
    <row r="175" ht="14.25" customHeight="1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</row>
    <row r="176" ht="14.25" customHeight="1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</row>
    <row r="177" ht="14.25" customHeight="1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</row>
    <row r="178" ht="14.25" customHeight="1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</row>
    <row r="179" ht="14.25" customHeight="1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</row>
    <row r="180" ht="14.25" customHeight="1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</row>
    <row r="181" ht="14.25" customHeight="1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</row>
    <row r="182" ht="14.25" customHeight="1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</row>
    <row r="183" ht="14.25" customHeight="1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</row>
    <row r="184" ht="14.25" customHeight="1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</row>
    <row r="185" ht="14.25" customHeight="1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</row>
    <row r="186" ht="14.25" customHeight="1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</row>
    <row r="187" ht="14.25" customHeight="1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</row>
    <row r="188" ht="14.25" customHeight="1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</row>
    <row r="189" ht="14.25" customHeight="1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</row>
    <row r="190" ht="14.25" customHeight="1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</row>
    <row r="191" ht="14.25" customHeight="1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</row>
    <row r="192" ht="14.25" customHeight="1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</row>
    <row r="193" ht="14.25" customHeight="1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</row>
    <row r="194" ht="14.25" customHeight="1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</row>
    <row r="195" ht="14.25" customHeight="1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</row>
    <row r="196" ht="14.25" customHeight="1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</row>
    <row r="197" ht="14.25" customHeight="1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</row>
    <row r="198" ht="14.25" customHeight="1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</row>
    <row r="199" ht="14.25" customHeight="1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</row>
    <row r="200" ht="14.25" customHeight="1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</row>
    <row r="201" ht="14.25" customHeight="1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</row>
    <row r="202" ht="14.25" customHeight="1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</row>
    <row r="203" ht="14.25" customHeight="1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</row>
    <row r="204" ht="14.25" customHeight="1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</row>
    <row r="205" ht="14.25" customHeight="1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</row>
    <row r="206" ht="14.25" customHeight="1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</row>
    <row r="207" ht="14.25" customHeight="1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</row>
    <row r="208" ht="14.25" customHeight="1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</row>
    <row r="209" ht="14.25" customHeight="1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</row>
    <row r="210" ht="14.25" customHeight="1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</row>
    <row r="211" ht="14.25" customHeight="1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</row>
    <row r="212" ht="14.25" customHeight="1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</row>
    <row r="213" ht="14.25" customHeight="1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</row>
    <row r="214" ht="14.25" customHeight="1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</row>
    <row r="215" ht="14.25" customHeight="1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</row>
    <row r="216" ht="14.25" customHeight="1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</row>
    <row r="217" ht="14.25" customHeight="1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</row>
    <row r="218" ht="14.25" customHeight="1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</row>
    <row r="219" ht="14.25" customHeight="1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</row>
    <row r="220" ht="14.25" customHeight="1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</row>
    <row r="221" ht="14.25" customHeight="1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</row>
    <row r="222" ht="14.25" customHeight="1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</row>
    <row r="223" ht="14.25" customHeight="1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</row>
    <row r="224" ht="14.25" customHeight="1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</row>
    <row r="225" ht="14.25" customHeight="1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</row>
    <row r="226" ht="14.25" customHeight="1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</row>
    <row r="227" ht="14.25" customHeight="1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</row>
    <row r="228" ht="14.25" customHeight="1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</row>
    <row r="229" ht="14.25" customHeight="1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</row>
    <row r="230" ht="14.25" customHeight="1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</row>
    <row r="231" ht="14.25" customHeight="1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</row>
    <row r="232" ht="14.25" customHeight="1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</row>
    <row r="233" ht="14.25" customHeight="1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</row>
    <row r="234" ht="14.25" customHeight="1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</row>
    <row r="235" ht="14.25" customHeight="1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</row>
    <row r="236" ht="14.25" customHeight="1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</row>
    <row r="237" ht="14.25" customHeight="1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</row>
    <row r="238" ht="14.25" customHeight="1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</row>
    <row r="239" ht="14.25" customHeight="1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</row>
    <row r="240" ht="14.25" customHeight="1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</row>
    <row r="241" ht="14.25" customHeight="1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</row>
    <row r="242" ht="14.25" customHeight="1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</row>
    <row r="243" ht="14.25" customHeight="1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</row>
    <row r="244" ht="14.25" customHeight="1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</row>
    <row r="245" ht="14.25" customHeight="1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</row>
    <row r="246" ht="14.25" customHeight="1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</row>
    <row r="247" ht="14.25" customHeight="1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</row>
    <row r="248" ht="14.25" customHeight="1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</row>
    <row r="249" ht="14.25" customHeight="1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</row>
    <row r="250" ht="14.25" customHeight="1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</row>
    <row r="251" ht="14.25" customHeight="1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</row>
    <row r="252" ht="14.25" customHeight="1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</row>
    <row r="253" ht="14.25" customHeight="1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</row>
    <row r="254" ht="14.25" customHeight="1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</row>
    <row r="255" ht="14.25" customHeight="1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</row>
    <row r="256" ht="14.25" customHeight="1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</row>
    <row r="257" ht="14.25" customHeight="1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</row>
    <row r="258" ht="14.25" customHeight="1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</row>
    <row r="259" ht="14.25" customHeight="1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</row>
    <row r="260" ht="14.25" customHeight="1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</row>
    <row r="261" ht="14.25" customHeight="1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</row>
    <row r="262" ht="14.25" customHeight="1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</row>
    <row r="263" ht="14.25" customHeight="1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</row>
    <row r="264" ht="14.25" customHeight="1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</row>
    <row r="265" ht="14.25" customHeight="1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</row>
    <row r="266" ht="14.25" customHeight="1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</row>
    <row r="267" ht="14.25" customHeight="1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</row>
    <row r="268" ht="14.25" customHeight="1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</row>
    <row r="269" ht="14.25" customHeight="1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</row>
    <row r="270" ht="14.25" customHeight="1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</row>
    <row r="271" ht="14.25" customHeight="1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</row>
    <row r="272" ht="14.25" customHeight="1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</row>
    <row r="273" ht="14.25" customHeight="1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</row>
    <row r="274" ht="14.25" customHeight="1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</row>
    <row r="275" ht="14.25" customHeight="1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</row>
    <row r="276" ht="14.25" customHeight="1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</row>
    <row r="277" ht="14.25" customHeight="1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</row>
    <row r="278" ht="14.25" customHeight="1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</row>
    <row r="279" ht="14.25" customHeight="1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</row>
    <row r="280" ht="14.25" customHeight="1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</row>
    <row r="281" ht="14.25" customHeight="1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</row>
    <row r="282" ht="14.25" customHeight="1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</row>
    <row r="283" ht="14.25" customHeight="1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</row>
    <row r="284" ht="14.25" customHeight="1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</row>
    <row r="285" ht="14.25" customHeight="1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</row>
    <row r="286" ht="14.25" customHeight="1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</row>
    <row r="287" ht="14.25" customHeight="1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</row>
    <row r="288" ht="14.25" customHeight="1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</row>
    <row r="289" ht="14.25" customHeight="1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</row>
    <row r="290" ht="14.25" customHeight="1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</row>
    <row r="291" ht="14.25" customHeight="1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</row>
    <row r="292" ht="14.25" customHeight="1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</row>
    <row r="293" ht="14.25" customHeight="1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</row>
    <row r="294" ht="14.25" customHeight="1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</row>
    <row r="295" ht="14.25" customHeight="1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</row>
    <row r="296" ht="14.25" customHeight="1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</row>
    <row r="297" ht="14.25" customHeight="1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</row>
    <row r="298" ht="14.25" customHeight="1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</row>
    <row r="299" ht="14.25" customHeight="1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</row>
    <row r="300" ht="14.25" customHeight="1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</row>
    <row r="301" ht="14.25" customHeight="1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</row>
    <row r="302" ht="14.25" customHeight="1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</row>
    <row r="303" ht="14.25" customHeight="1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</row>
    <row r="304" ht="14.25" customHeight="1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</row>
    <row r="305" ht="14.25" customHeight="1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</row>
    <row r="306" ht="14.25" customHeight="1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</row>
    <row r="307" ht="14.25" customHeight="1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</row>
    <row r="308" ht="14.25" customHeight="1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</row>
    <row r="309" ht="14.25" customHeight="1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</row>
    <row r="310" ht="14.25" customHeight="1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</row>
    <row r="311" ht="14.25" customHeight="1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</row>
    <row r="312" ht="14.25" customHeight="1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</row>
    <row r="313" ht="14.25" customHeight="1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</row>
    <row r="314" ht="14.25" customHeight="1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</row>
    <row r="315" ht="14.25" customHeight="1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</row>
    <row r="316" ht="14.25" customHeight="1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</row>
    <row r="317" ht="14.25" customHeight="1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</row>
    <row r="318" ht="14.25" customHeight="1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</row>
    <row r="319" ht="14.25" customHeight="1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</row>
    <row r="320" ht="14.25" customHeight="1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</row>
    <row r="321" ht="14.25" customHeight="1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</row>
    <row r="322" ht="14.25" customHeight="1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</row>
    <row r="323" ht="14.25" customHeight="1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</row>
    <row r="324" ht="14.25" customHeight="1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</row>
    <row r="325" ht="14.25" customHeight="1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</row>
    <row r="326" ht="14.25" customHeight="1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</row>
    <row r="327" ht="14.25" customHeight="1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</row>
    <row r="328" ht="14.25" customHeight="1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</row>
    <row r="329" ht="14.25" customHeight="1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</row>
    <row r="330" ht="14.25" customHeight="1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</row>
    <row r="331" ht="14.25" customHeight="1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</row>
    <row r="332" ht="14.25" customHeight="1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</row>
    <row r="333" ht="14.25" customHeight="1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</row>
    <row r="334" ht="14.25" customHeight="1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</row>
    <row r="335" ht="14.25" customHeight="1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</row>
    <row r="336" ht="14.25" customHeight="1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</row>
    <row r="337" ht="14.25" customHeight="1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</row>
    <row r="338" ht="14.25" customHeight="1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</row>
    <row r="339" ht="14.25" customHeight="1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</row>
    <row r="340" ht="14.25" customHeight="1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</row>
    <row r="341" ht="14.25" customHeight="1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</row>
    <row r="342" ht="14.25" customHeight="1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</row>
    <row r="343" ht="14.25" customHeight="1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</row>
    <row r="344" ht="14.25" customHeight="1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</row>
    <row r="345" ht="14.25" customHeight="1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</row>
    <row r="346" ht="14.25" customHeight="1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</row>
    <row r="347" ht="14.25" customHeight="1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</row>
    <row r="348" ht="14.25" customHeight="1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</row>
    <row r="349" ht="14.25" customHeight="1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</row>
    <row r="350" ht="14.25" customHeight="1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</row>
    <row r="351" ht="14.25" customHeight="1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</row>
    <row r="352" ht="14.25" customHeight="1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</row>
    <row r="353" ht="14.25" customHeight="1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</row>
    <row r="354" ht="14.25" customHeight="1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</row>
    <row r="355" ht="14.25" customHeight="1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</row>
    <row r="356" ht="14.25" customHeight="1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</row>
    <row r="357" ht="14.25" customHeight="1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</row>
    <row r="358" ht="14.25" customHeight="1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</row>
    <row r="359" ht="14.25" customHeight="1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</row>
    <row r="360" ht="14.25" customHeight="1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</row>
    <row r="361" ht="14.25" customHeight="1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</row>
    <row r="362" ht="14.25" customHeight="1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</row>
    <row r="363" ht="14.25" customHeight="1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</row>
    <row r="364" ht="14.25" customHeight="1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</row>
    <row r="365" ht="14.25" customHeight="1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</row>
    <row r="366" ht="14.25" customHeight="1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</row>
    <row r="367" ht="14.25" customHeight="1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</row>
    <row r="368" ht="14.25" customHeight="1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</row>
    <row r="369" ht="14.25" customHeight="1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</row>
    <row r="370" ht="14.25" customHeight="1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</row>
    <row r="371" ht="14.25" customHeight="1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</row>
    <row r="372" ht="14.25" customHeight="1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</row>
    <row r="373" ht="14.25" customHeight="1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</row>
    <row r="374" ht="14.25" customHeight="1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</row>
    <row r="375" ht="14.25" customHeight="1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</row>
    <row r="376" ht="14.25" customHeight="1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</row>
    <row r="377" ht="14.25" customHeight="1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</row>
    <row r="378" ht="14.25" customHeight="1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</row>
    <row r="379" ht="14.25" customHeight="1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</row>
    <row r="380" ht="14.25" customHeight="1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</row>
    <row r="381" ht="14.25" customHeight="1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</row>
    <row r="382" ht="14.25" customHeight="1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</row>
    <row r="383" ht="14.25" customHeight="1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</row>
    <row r="384" ht="14.25" customHeight="1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</row>
    <row r="385" ht="14.25" customHeight="1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</row>
    <row r="386" ht="14.25" customHeight="1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</row>
    <row r="387" ht="14.25" customHeight="1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</row>
    <row r="388" ht="14.25" customHeight="1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</row>
    <row r="389" ht="14.25" customHeight="1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</row>
    <row r="390" ht="14.25" customHeight="1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</row>
    <row r="391" ht="14.25" customHeight="1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</row>
    <row r="392" ht="14.25" customHeight="1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</row>
    <row r="393" ht="14.25" customHeight="1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</row>
    <row r="394" ht="14.25" customHeight="1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</row>
    <row r="395" ht="14.25" customHeight="1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</row>
    <row r="396" ht="14.25" customHeight="1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</row>
    <row r="397" ht="14.25" customHeight="1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</row>
    <row r="398" ht="14.25" customHeight="1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</row>
    <row r="399" ht="14.25" customHeight="1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</row>
    <row r="400" ht="14.25" customHeight="1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</row>
    <row r="401" ht="14.25" customHeight="1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</row>
    <row r="402" ht="14.25" customHeight="1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</row>
    <row r="403" ht="14.25" customHeight="1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</row>
    <row r="404" ht="14.25" customHeight="1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</row>
    <row r="405" ht="14.25" customHeight="1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</row>
    <row r="406" ht="14.25" customHeight="1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</row>
    <row r="407" ht="14.25" customHeight="1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</row>
    <row r="408" ht="14.25" customHeight="1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</row>
    <row r="409" ht="14.25" customHeight="1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</row>
    <row r="410" ht="14.25" customHeight="1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</row>
    <row r="411" ht="14.25" customHeight="1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</row>
    <row r="412" ht="14.25" customHeight="1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</row>
    <row r="413" ht="14.25" customHeight="1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</row>
    <row r="414" ht="14.25" customHeight="1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</row>
    <row r="415" ht="14.25" customHeight="1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</row>
    <row r="416" ht="14.25" customHeight="1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</row>
    <row r="417" ht="14.25" customHeight="1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</row>
    <row r="418" ht="14.25" customHeight="1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</row>
    <row r="419" ht="14.25" customHeight="1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</row>
    <row r="420" ht="14.25" customHeight="1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</row>
    <row r="421" ht="14.25" customHeight="1">
      <c r="A421" s="41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</row>
    <row r="422" ht="14.25" customHeight="1">
      <c r="A422" s="41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</row>
    <row r="423" ht="14.25" customHeight="1">
      <c r="A423" s="41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</row>
    <row r="424" ht="14.25" customHeight="1">
      <c r="A424" s="41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</row>
    <row r="425" ht="14.25" customHeight="1">
      <c r="A425" s="41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</row>
    <row r="426" ht="14.25" customHeight="1">
      <c r="A426" s="41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</row>
    <row r="427" ht="14.25" customHeight="1">
      <c r="A427" s="41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</row>
    <row r="428" ht="14.25" customHeight="1">
      <c r="A428" s="41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</row>
    <row r="429" ht="14.25" customHeight="1">
      <c r="A429" s="41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</row>
    <row r="430" ht="14.25" customHeight="1">
      <c r="A430" s="41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</row>
    <row r="431" ht="14.25" customHeight="1">
      <c r="A431" s="41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</row>
    <row r="432" ht="14.25" customHeight="1">
      <c r="A432" s="41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</row>
    <row r="433" ht="14.25" customHeight="1">
      <c r="A433" s="41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</row>
    <row r="434" ht="14.25" customHeight="1">
      <c r="A434" s="41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</row>
    <row r="435" ht="14.25" customHeight="1">
      <c r="A435" s="41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</row>
    <row r="436" ht="14.25" customHeight="1">
      <c r="A436" s="41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</row>
    <row r="437" ht="14.25" customHeight="1">
      <c r="A437" s="41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</row>
    <row r="438" ht="14.25" customHeight="1">
      <c r="A438" s="41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</row>
    <row r="439" ht="14.25" customHeight="1">
      <c r="A439" s="41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</row>
    <row r="440" ht="14.25" customHeight="1">
      <c r="A440" s="41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</row>
    <row r="441" ht="14.25" customHeight="1">
      <c r="A441" s="41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</row>
    <row r="442" ht="14.25" customHeight="1">
      <c r="A442" s="41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</row>
    <row r="443" ht="14.25" customHeight="1">
      <c r="A443" s="41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</row>
    <row r="444" ht="14.25" customHeight="1">
      <c r="A444" s="41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</row>
    <row r="445" ht="14.25" customHeight="1">
      <c r="A445" s="41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</row>
    <row r="446" ht="14.25" customHeight="1">
      <c r="A446" s="41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</row>
    <row r="447" ht="14.25" customHeight="1">
      <c r="A447" s="41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</row>
    <row r="448" ht="14.25" customHeight="1">
      <c r="A448" s="41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</row>
    <row r="449" ht="14.25" customHeight="1">
      <c r="A449" s="41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</row>
    <row r="450" ht="14.25" customHeight="1">
      <c r="A450" s="41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</row>
    <row r="451" ht="14.25" customHeight="1">
      <c r="A451" s="41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</row>
    <row r="452" ht="14.25" customHeight="1">
      <c r="A452" s="41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</row>
    <row r="453" ht="14.25" customHeight="1">
      <c r="A453" s="41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</row>
    <row r="454" ht="14.25" customHeight="1">
      <c r="A454" s="41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</row>
    <row r="455" ht="14.25" customHeight="1">
      <c r="A455" s="41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</row>
    <row r="456" ht="14.25" customHeight="1">
      <c r="A456" s="41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</row>
    <row r="457" ht="14.25" customHeight="1">
      <c r="A457" s="41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</row>
    <row r="458" ht="14.25" customHeight="1">
      <c r="A458" s="41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</row>
    <row r="459" ht="14.25" customHeight="1">
      <c r="A459" s="41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</row>
    <row r="460" ht="14.25" customHeight="1">
      <c r="A460" s="41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</row>
    <row r="461" ht="14.25" customHeight="1">
      <c r="A461" s="41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</row>
    <row r="462" ht="14.25" customHeight="1">
      <c r="A462" s="41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</row>
    <row r="463" ht="14.25" customHeight="1">
      <c r="A463" s="41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</row>
    <row r="464" ht="14.25" customHeight="1">
      <c r="A464" s="41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</row>
    <row r="465" ht="14.25" customHeight="1">
      <c r="A465" s="41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</row>
    <row r="466" ht="14.25" customHeight="1">
      <c r="A466" s="41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</row>
    <row r="467" ht="14.25" customHeight="1">
      <c r="A467" s="41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</row>
    <row r="468" ht="14.25" customHeight="1">
      <c r="A468" s="41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</row>
    <row r="469" ht="14.25" customHeight="1">
      <c r="A469" s="41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</row>
    <row r="470" ht="14.25" customHeight="1">
      <c r="A470" s="41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</row>
    <row r="471" ht="14.25" customHeight="1">
      <c r="A471" s="41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</row>
    <row r="472" ht="14.25" customHeight="1">
      <c r="A472" s="41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</row>
    <row r="473" ht="14.25" customHeight="1">
      <c r="A473" s="41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</row>
    <row r="474" ht="14.25" customHeight="1">
      <c r="A474" s="41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</row>
    <row r="475" ht="14.25" customHeight="1">
      <c r="A475" s="41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</row>
    <row r="476" ht="14.25" customHeight="1">
      <c r="A476" s="41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</row>
    <row r="477" ht="14.25" customHeight="1">
      <c r="A477" s="41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</row>
    <row r="478" ht="14.25" customHeight="1">
      <c r="A478" s="41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</row>
    <row r="479" ht="14.25" customHeight="1">
      <c r="A479" s="41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</row>
    <row r="480" ht="14.25" customHeight="1">
      <c r="A480" s="41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</row>
    <row r="481" ht="14.25" customHeight="1">
      <c r="A481" s="41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</row>
    <row r="482" ht="14.25" customHeight="1">
      <c r="A482" s="41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</row>
    <row r="483" ht="14.25" customHeight="1">
      <c r="A483" s="41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</row>
    <row r="484" ht="14.25" customHeight="1">
      <c r="A484" s="41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</row>
    <row r="485" ht="14.25" customHeight="1">
      <c r="A485" s="41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</row>
    <row r="486" ht="14.25" customHeight="1">
      <c r="A486" s="41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</row>
    <row r="487" ht="14.25" customHeight="1">
      <c r="A487" s="41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</row>
    <row r="488" ht="14.25" customHeight="1">
      <c r="A488" s="41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</row>
    <row r="489" ht="14.25" customHeight="1">
      <c r="A489" s="41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</row>
    <row r="490" ht="14.25" customHeight="1">
      <c r="A490" s="41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</row>
    <row r="491" ht="14.25" customHeight="1">
      <c r="A491" s="41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</row>
    <row r="492" ht="14.25" customHeight="1">
      <c r="A492" s="41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</row>
    <row r="493" ht="14.25" customHeight="1">
      <c r="A493" s="41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</row>
    <row r="494" ht="14.25" customHeight="1">
      <c r="A494" s="41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</row>
    <row r="495" ht="14.25" customHeight="1">
      <c r="A495" s="41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</row>
    <row r="496" ht="14.25" customHeight="1">
      <c r="A496" s="41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</row>
    <row r="497" ht="14.25" customHeight="1">
      <c r="A497" s="41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</row>
    <row r="498" ht="14.25" customHeight="1">
      <c r="A498" s="41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</row>
    <row r="499" ht="14.25" customHeight="1">
      <c r="A499" s="41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</row>
    <row r="500" ht="14.25" customHeight="1">
      <c r="A500" s="41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</row>
    <row r="501" ht="14.25" customHeight="1">
      <c r="A501" s="41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</row>
    <row r="502" ht="14.25" customHeight="1">
      <c r="A502" s="41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</row>
    <row r="503" ht="14.25" customHeight="1">
      <c r="A503" s="41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</row>
    <row r="504" ht="14.25" customHeight="1">
      <c r="A504" s="41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</row>
    <row r="505" ht="14.25" customHeight="1">
      <c r="A505" s="41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</row>
    <row r="506" ht="14.25" customHeight="1">
      <c r="A506" s="41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</row>
    <row r="507" ht="14.25" customHeight="1">
      <c r="A507" s="41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</row>
    <row r="508" ht="14.25" customHeight="1">
      <c r="A508" s="41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</row>
    <row r="509" ht="14.25" customHeight="1">
      <c r="A509" s="41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</row>
    <row r="510" ht="14.25" customHeight="1">
      <c r="A510" s="41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</row>
    <row r="511" ht="14.25" customHeight="1">
      <c r="A511" s="41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</row>
    <row r="512" ht="14.25" customHeight="1">
      <c r="A512" s="41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</row>
    <row r="513" ht="14.25" customHeight="1">
      <c r="A513" s="41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</row>
    <row r="514" ht="14.25" customHeight="1">
      <c r="A514" s="41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</row>
    <row r="515" ht="14.25" customHeight="1">
      <c r="A515" s="41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</row>
    <row r="516" ht="14.25" customHeight="1">
      <c r="A516" s="41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</row>
    <row r="517" ht="14.25" customHeight="1">
      <c r="A517" s="41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</row>
    <row r="518" ht="14.25" customHeight="1">
      <c r="A518" s="41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</row>
    <row r="519" ht="14.25" customHeight="1">
      <c r="A519" s="41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</row>
    <row r="520" ht="14.25" customHeight="1">
      <c r="A520" s="41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</row>
    <row r="521" ht="14.25" customHeight="1">
      <c r="A521" s="41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</row>
    <row r="522" ht="14.25" customHeight="1">
      <c r="A522" s="41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</row>
    <row r="523" ht="14.25" customHeight="1">
      <c r="A523" s="41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</row>
    <row r="524" ht="14.25" customHeight="1">
      <c r="A524" s="41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</row>
    <row r="525" ht="14.25" customHeight="1">
      <c r="A525" s="41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</row>
    <row r="526" ht="14.25" customHeight="1">
      <c r="A526" s="41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</row>
    <row r="527" ht="14.25" customHeight="1">
      <c r="A527" s="41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</row>
    <row r="528" ht="14.25" customHeight="1">
      <c r="A528" s="41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</row>
    <row r="529" ht="14.25" customHeight="1">
      <c r="A529" s="41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</row>
    <row r="530" ht="14.25" customHeight="1">
      <c r="A530" s="41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</row>
    <row r="531" ht="14.25" customHeight="1">
      <c r="A531" s="41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</row>
    <row r="532" ht="14.25" customHeight="1">
      <c r="A532" s="41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</row>
    <row r="533" ht="14.25" customHeight="1">
      <c r="A533" s="41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</row>
    <row r="534" ht="14.25" customHeight="1">
      <c r="A534" s="41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</row>
    <row r="535" ht="14.25" customHeight="1">
      <c r="A535" s="41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</row>
    <row r="536" ht="14.25" customHeight="1">
      <c r="A536" s="41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</row>
    <row r="537" ht="14.25" customHeight="1">
      <c r="A537" s="41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</row>
    <row r="538" ht="14.25" customHeight="1">
      <c r="A538" s="41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</row>
    <row r="539" ht="14.25" customHeight="1">
      <c r="A539" s="41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</row>
    <row r="540" ht="14.25" customHeight="1">
      <c r="A540" s="41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</row>
    <row r="541" ht="14.25" customHeight="1">
      <c r="A541" s="41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</row>
    <row r="542" ht="14.25" customHeight="1">
      <c r="A542" s="41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</row>
    <row r="543" ht="14.25" customHeight="1">
      <c r="A543" s="41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</row>
    <row r="544" ht="14.25" customHeight="1">
      <c r="A544" s="41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</row>
    <row r="545" ht="14.25" customHeight="1">
      <c r="A545" s="41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</row>
    <row r="546" ht="14.25" customHeight="1">
      <c r="A546" s="41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</row>
    <row r="547" ht="14.25" customHeight="1">
      <c r="A547" s="41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</row>
    <row r="548" ht="14.25" customHeight="1">
      <c r="A548" s="41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</row>
    <row r="549" ht="14.25" customHeight="1">
      <c r="A549" s="41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</row>
    <row r="550" ht="14.25" customHeight="1">
      <c r="A550" s="41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</row>
    <row r="551" ht="14.25" customHeight="1">
      <c r="A551" s="41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</row>
    <row r="552" ht="14.25" customHeight="1">
      <c r="A552" s="41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</row>
    <row r="553" ht="14.25" customHeight="1">
      <c r="A553" s="41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</row>
    <row r="554" ht="14.25" customHeight="1">
      <c r="A554" s="41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</row>
    <row r="555" ht="14.25" customHeight="1">
      <c r="A555" s="41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</row>
    <row r="556" ht="14.25" customHeight="1">
      <c r="A556" s="41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</row>
    <row r="557" ht="14.25" customHeight="1">
      <c r="A557" s="41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</row>
    <row r="558" ht="14.25" customHeight="1">
      <c r="A558" s="41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</row>
    <row r="559" ht="14.25" customHeight="1">
      <c r="A559" s="41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</row>
    <row r="560" ht="14.25" customHeight="1">
      <c r="A560" s="41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</row>
    <row r="561" ht="14.25" customHeight="1">
      <c r="A561" s="41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</row>
    <row r="562" ht="14.25" customHeight="1">
      <c r="A562" s="41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</row>
    <row r="563" ht="14.25" customHeight="1">
      <c r="A563" s="41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</row>
    <row r="564" ht="14.25" customHeight="1">
      <c r="A564" s="41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</row>
    <row r="565" ht="14.25" customHeight="1">
      <c r="A565" s="41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</row>
    <row r="566" ht="14.25" customHeight="1">
      <c r="A566" s="41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</row>
    <row r="567" ht="14.25" customHeight="1">
      <c r="A567" s="41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</row>
    <row r="568" ht="14.25" customHeight="1">
      <c r="A568" s="41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</row>
    <row r="569" ht="14.25" customHeight="1">
      <c r="A569" s="41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</row>
    <row r="570" ht="14.25" customHeight="1">
      <c r="A570" s="41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</row>
    <row r="571" ht="14.25" customHeight="1">
      <c r="A571" s="41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</row>
    <row r="572" ht="14.25" customHeight="1">
      <c r="A572" s="41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</row>
    <row r="573" ht="14.25" customHeight="1">
      <c r="A573" s="41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</row>
    <row r="574" ht="14.25" customHeight="1">
      <c r="A574" s="41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</row>
    <row r="575" ht="14.25" customHeight="1">
      <c r="A575" s="41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</row>
    <row r="576" ht="14.25" customHeight="1">
      <c r="A576" s="41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</row>
    <row r="577" ht="14.25" customHeight="1">
      <c r="A577" s="41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</row>
    <row r="578" ht="14.25" customHeight="1">
      <c r="A578" s="41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</row>
    <row r="579" ht="14.25" customHeight="1">
      <c r="A579" s="41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</row>
    <row r="580" ht="14.25" customHeight="1">
      <c r="A580" s="41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</row>
    <row r="581" ht="14.25" customHeight="1">
      <c r="A581" s="41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</row>
    <row r="582" ht="14.25" customHeight="1">
      <c r="A582" s="41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</row>
    <row r="583" ht="14.25" customHeight="1">
      <c r="A583" s="41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</row>
    <row r="584" ht="14.25" customHeight="1">
      <c r="A584" s="41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</row>
    <row r="585" ht="14.25" customHeight="1">
      <c r="A585" s="41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</row>
    <row r="586" ht="14.25" customHeight="1">
      <c r="A586" s="41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</row>
    <row r="587" ht="14.25" customHeight="1">
      <c r="A587" s="41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</row>
    <row r="588" ht="14.25" customHeight="1">
      <c r="A588" s="41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</row>
    <row r="589" ht="14.25" customHeight="1">
      <c r="A589" s="41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</row>
    <row r="590" ht="14.25" customHeight="1">
      <c r="A590" s="41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</row>
    <row r="591" ht="14.25" customHeight="1">
      <c r="A591" s="41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</row>
    <row r="592" ht="14.25" customHeight="1">
      <c r="A592" s="41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</row>
    <row r="593" ht="14.25" customHeight="1">
      <c r="A593" s="41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</row>
    <row r="594" ht="14.25" customHeight="1">
      <c r="A594" s="41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</row>
    <row r="595" ht="14.25" customHeight="1">
      <c r="A595" s="41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</row>
    <row r="596" ht="14.25" customHeight="1">
      <c r="A596" s="41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</row>
    <row r="597" ht="14.25" customHeight="1">
      <c r="A597" s="41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</row>
    <row r="598" ht="14.25" customHeight="1">
      <c r="A598" s="41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</row>
    <row r="599" ht="14.25" customHeight="1">
      <c r="A599" s="41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</row>
    <row r="600" ht="14.25" customHeight="1">
      <c r="A600" s="41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</row>
    <row r="601" ht="14.25" customHeight="1">
      <c r="A601" s="41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</row>
    <row r="602" ht="14.25" customHeight="1">
      <c r="A602" s="41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</row>
    <row r="603" ht="14.25" customHeight="1">
      <c r="A603" s="41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</row>
    <row r="604" ht="14.25" customHeight="1">
      <c r="A604" s="41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</row>
    <row r="605" ht="14.25" customHeight="1">
      <c r="A605" s="41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</row>
    <row r="606" ht="14.25" customHeight="1">
      <c r="A606" s="41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</row>
    <row r="607" ht="14.25" customHeight="1">
      <c r="A607" s="41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</row>
    <row r="608" ht="14.25" customHeight="1">
      <c r="A608" s="41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</row>
    <row r="609" ht="14.25" customHeight="1">
      <c r="A609" s="41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</row>
    <row r="610" ht="14.25" customHeight="1">
      <c r="A610" s="41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</row>
    <row r="611" ht="14.25" customHeight="1">
      <c r="A611" s="41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</row>
    <row r="612" ht="14.25" customHeight="1">
      <c r="A612" s="41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</row>
    <row r="613" ht="14.25" customHeight="1">
      <c r="A613" s="41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</row>
    <row r="614" ht="14.25" customHeight="1">
      <c r="A614" s="41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</row>
    <row r="615" ht="14.25" customHeight="1">
      <c r="A615" s="41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</row>
    <row r="616" ht="14.25" customHeight="1">
      <c r="A616" s="41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</row>
    <row r="617" ht="14.25" customHeight="1">
      <c r="A617" s="41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</row>
    <row r="618" ht="14.25" customHeight="1">
      <c r="A618" s="41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</row>
    <row r="619" ht="14.25" customHeight="1">
      <c r="A619" s="41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</row>
    <row r="620" ht="14.25" customHeight="1">
      <c r="A620" s="41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</row>
    <row r="621" ht="14.25" customHeight="1">
      <c r="A621" s="41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</row>
    <row r="622" ht="14.25" customHeight="1">
      <c r="A622" s="41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</row>
    <row r="623" ht="14.25" customHeight="1">
      <c r="A623" s="41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</row>
    <row r="624" ht="14.25" customHeight="1">
      <c r="A624" s="41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</row>
    <row r="625" ht="14.25" customHeight="1">
      <c r="A625" s="41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</row>
    <row r="626" ht="14.25" customHeight="1">
      <c r="A626" s="41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</row>
    <row r="627" ht="14.25" customHeight="1">
      <c r="A627" s="41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</row>
    <row r="628" ht="14.25" customHeight="1">
      <c r="A628" s="41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</row>
    <row r="629" ht="14.25" customHeight="1">
      <c r="A629" s="41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</row>
    <row r="630" ht="14.25" customHeight="1">
      <c r="A630" s="41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</row>
    <row r="631" ht="14.25" customHeight="1">
      <c r="A631" s="41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</row>
    <row r="632" ht="14.25" customHeight="1">
      <c r="A632" s="41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</row>
    <row r="633" ht="14.25" customHeight="1">
      <c r="A633" s="41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</row>
    <row r="634" ht="14.25" customHeight="1">
      <c r="A634" s="41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</row>
    <row r="635" ht="14.25" customHeight="1">
      <c r="A635" s="41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</row>
    <row r="636" ht="14.25" customHeight="1">
      <c r="A636" s="41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</row>
    <row r="637" ht="14.25" customHeight="1">
      <c r="A637" s="41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</row>
    <row r="638" ht="14.25" customHeight="1">
      <c r="A638" s="41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</row>
    <row r="639" ht="14.25" customHeight="1">
      <c r="A639" s="41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</row>
    <row r="640" ht="14.25" customHeight="1">
      <c r="A640" s="41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</row>
    <row r="641" ht="14.25" customHeight="1">
      <c r="A641" s="41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</row>
    <row r="642" ht="14.25" customHeight="1">
      <c r="A642" s="41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</row>
    <row r="643" ht="14.25" customHeight="1">
      <c r="A643" s="41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</row>
    <row r="644" ht="14.25" customHeight="1">
      <c r="A644" s="41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</row>
    <row r="645" ht="14.25" customHeight="1">
      <c r="A645" s="41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</row>
    <row r="646" ht="14.25" customHeight="1">
      <c r="A646" s="41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</row>
    <row r="647" ht="14.25" customHeight="1">
      <c r="A647" s="41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</row>
    <row r="648" ht="14.25" customHeight="1">
      <c r="A648" s="41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</row>
    <row r="649" ht="14.25" customHeight="1">
      <c r="A649" s="41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</row>
    <row r="650" ht="14.25" customHeight="1">
      <c r="A650" s="41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</row>
    <row r="651" ht="14.25" customHeight="1">
      <c r="A651" s="41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</row>
    <row r="652" ht="14.25" customHeight="1">
      <c r="A652" s="41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</row>
    <row r="653" ht="14.25" customHeight="1">
      <c r="A653" s="41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</row>
    <row r="654" ht="14.25" customHeight="1">
      <c r="A654" s="41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</row>
    <row r="655" ht="14.25" customHeight="1">
      <c r="A655" s="41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</row>
    <row r="656" ht="14.25" customHeight="1">
      <c r="A656" s="41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</row>
    <row r="657" ht="14.25" customHeight="1">
      <c r="A657" s="41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</row>
    <row r="658" ht="14.25" customHeight="1">
      <c r="A658" s="41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</row>
    <row r="659" ht="14.25" customHeight="1">
      <c r="A659" s="41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</row>
    <row r="660" ht="14.25" customHeight="1">
      <c r="A660" s="41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</row>
    <row r="661" ht="14.25" customHeight="1">
      <c r="A661" s="41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</row>
    <row r="662" ht="14.25" customHeight="1">
      <c r="A662" s="41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</row>
    <row r="663" ht="14.25" customHeight="1">
      <c r="A663" s="41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</row>
    <row r="664" ht="14.25" customHeight="1">
      <c r="A664" s="41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</row>
    <row r="665" ht="14.25" customHeight="1">
      <c r="A665" s="41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</row>
    <row r="666" ht="14.25" customHeight="1">
      <c r="A666" s="41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</row>
    <row r="667" ht="14.25" customHeight="1">
      <c r="A667" s="41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</row>
    <row r="668" ht="14.25" customHeight="1">
      <c r="A668" s="41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</row>
    <row r="669" ht="14.25" customHeight="1">
      <c r="A669" s="41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</row>
    <row r="670" ht="14.25" customHeight="1">
      <c r="A670" s="41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</row>
    <row r="671" ht="14.25" customHeight="1">
      <c r="A671" s="41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</row>
    <row r="672" ht="14.25" customHeight="1">
      <c r="A672" s="41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</row>
    <row r="673" ht="14.25" customHeight="1">
      <c r="A673" s="41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</row>
    <row r="674" ht="14.25" customHeight="1">
      <c r="A674" s="41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</row>
    <row r="675" ht="14.25" customHeight="1">
      <c r="A675" s="41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</row>
    <row r="676" ht="14.25" customHeight="1">
      <c r="A676" s="41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</row>
    <row r="677" ht="14.25" customHeight="1">
      <c r="A677" s="41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</row>
    <row r="678" ht="14.25" customHeight="1">
      <c r="A678" s="41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</row>
    <row r="679" ht="14.25" customHeight="1">
      <c r="A679" s="41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</row>
    <row r="680" ht="14.25" customHeight="1">
      <c r="A680" s="41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</row>
    <row r="681" ht="14.25" customHeight="1">
      <c r="A681" s="41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</row>
    <row r="682" ht="14.25" customHeight="1">
      <c r="A682" s="41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</row>
    <row r="683" ht="14.25" customHeight="1">
      <c r="A683" s="41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</row>
    <row r="684" ht="14.25" customHeight="1">
      <c r="A684" s="41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</row>
    <row r="685" ht="14.25" customHeight="1">
      <c r="A685" s="41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</row>
    <row r="686" ht="14.25" customHeight="1">
      <c r="A686" s="41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</row>
    <row r="687" ht="14.25" customHeight="1">
      <c r="A687" s="41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</row>
    <row r="688" ht="14.25" customHeight="1">
      <c r="A688" s="41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</row>
    <row r="689" ht="14.25" customHeight="1">
      <c r="A689" s="41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</row>
    <row r="690" ht="14.25" customHeight="1">
      <c r="A690" s="41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</row>
    <row r="691" ht="14.25" customHeight="1">
      <c r="A691" s="41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</row>
    <row r="692" ht="14.25" customHeight="1">
      <c r="A692" s="41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</row>
    <row r="693" ht="14.25" customHeight="1">
      <c r="A693" s="41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</row>
    <row r="694" ht="14.25" customHeight="1">
      <c r="A694" s="41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</row>
    <row r="695" ht="14.25" customHeight="1">
      <c r="A695" s="41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</row>
    <row r="696" ht="14.25" customHeight="1">
      <c r="A696" s="41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</row>
    <row r="697" ht="14.25" customHeight="1">
      <c r="A697" s="41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</row>
    <row r="698" ht="14.25" customHeight="1">
      <c r="A698" s="41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</row>
    <row r="699" ht="14.25" customHeight="1">
      <c r="A699" s="41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</row>
    <row r="700" ht="14.25" customHeight="1">
      <c r="A700" s="41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</row>
    <row r="701" ht="14.25" customHeight="1">
      <c r="A701" s="41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</row>
    <row r="702" ht="14.25" customHeight="1">
      <c r="A702" s="41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</row>
    <row r="703" ht="14.25" customHeight="1">
      <c r="A703" s="41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</row>
    <row r="704" ht="14.25" customHeight="1">
      <c r="A704" s="41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</row>
    <row r="705" ht="14.25" customHeight="1">
      <c r="A705" s="41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</row>
    <row r="706" ht="14.25" customHeight="1">
      <c r="A706" s="41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</row>
    <row r="707" ht="14.25" customHeight="1">
      <c r="A707" s="41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</row>
    <row r="708" ht="14.25" customHeight="1">
      <c r="A708" s="41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</row>
    <row r="709" ht="14.25" customHeight="1">
      <c r="A709" s="41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</row>
    <row r="710" ht="14.25" customHeight="1">
      <c r="A710" s="41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</row>
    <row r="711" ht="14.25" customHeight="1">
      <c r="A711" s="41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</row>
    <row r="712" ht="14.25" customHeight="1">
      <c r="A712" s="41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</row>
    <row r="713" ht="14.25" customHeight="1">
      <c r="A713" s="41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</row>
    <row r="714" ht="14.25" customHeight="1">
      <c r="A714" s="41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</row>
    <row r="715" ht="14.25" customHeight="1">
      <c r="A715" s="41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</row>
    <row r="716" ht="14.25" customHeight="1">
      <c r="A716" s="41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</row>
    <row r="717" ht="14.25" customHeight="1">
      <c r="A717" s="41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</row>
    <row r="718" ht="14.25" customHeight="1">
      <c r="A718" s="41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</row>
    <row r="719" ht="14.25" customHeight="1">
      <c r="A719" s="41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</row>
    <row r="720" ht="14.25" customHeight="1">
      <c r="A720" s="41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</row>
    <row r="721" ht="14.25" customHeight="1">
      <c r="A721" s="41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</row>
    <row r="722" ht="14.25" customHeight="1">
      <c r="A722" s="41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</row>
    <row r="723" ht="14.25" customHeight="1">
      <c r="A723" s="41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</row>
    <row r="724" ht="14.25" customHeight="1">
      <c r="A724" s="41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</row>
    <row r="725" ht="14.25" customHeight="1">
      <c r="A725" s="41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</row>
    <row r="726" ht="14.25" customHeight="1">
      <c r="A726" s="41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</row>
    <row r="727" ht="14.25" customHeight="1">
      <c r="A727" s="41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</row>
    <row r="728" ht="14.25" customHeight="1">
      <c r="A728" s="41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</row>
    <row r="729" ht="14.25" customHeight="1">
      <c r="A729" s="41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</row>
    <row r="730" ht="14.25" customHeight="1">
      <c r="A730" s="41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</row>
    <row r="731" ht="14.25" customHeight="1">
      <c r="A731" s="41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</row>
    <row r="732" ht="14.25" customHeight="1">
      <c r="A732" s="41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</row>
    <row r="733" ht="14.25" customHeight="1">
      <c r="A733" s="41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</row>
    <row r="734" ht="14.25" customHeight="1">
      <c r="A734" s="41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</row>
    <row r="735" ht="14.25" customHeight="1">
      <c r="A735" s="41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</row>
    <row r="736" ht="14.25" customHeight="1">
      <c r="A736" s="41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</row>
    <row r="737" ht="14.25" customHeight="1">
      <c r="A737" s="41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</row>
    <row r="738" ht="14.25" customHeight="1">
      <c r="A738" s="41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</row>
    <row r="739" ht="14.25" customHeight="1">
      <c r="A739" s="41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</row>
    <row r="740" ht="14.25" customHeight="1">
      <c r="A740" s="41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</row>
    <row r="741" ht="14.25" customHeight="1">
      <c r="A741" s="41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</row>
    <row r="742" ht="14.25" customHeight="1">
      <c r="A742" s="41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</row>
    <row r="743" ht="14.25" customHeight="1">
      <c r="A743" s="41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</row>
    <row r="744" ht="14.25" customHeight="1">
      <c r="A744" s="41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</row>
    <row r="745" ht="14.25" customHeight="1">
      <c r="A745" s="41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</row>
    <row r="746" ht="14.25" customHeight="1">
      <c r="A746" s="41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</row>
    <row r="747" ht="14.25" customHeight="1">
      <c r="A747" s="41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</row>
    <row r="748" ht="14.25" customHeight="1">
      <c r="A748" s="41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</row>
    <row r="749" ht="14.25" customHeight="1">
      <c r="A749" s="41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</row>
    <row r="750" ht="14.25" customHeight="1">
      <c r="A750" s="41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</row>
    <row r="751" ht="14.25" customHeight="1">
      <c r="A751" s="41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</row>
    <row r="752" ht="14.25" customHeight="1">
      <c r="A752" s="41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</row>
    <row r="753" ht="14.25" customHeight="1">
      <c r="A753" s="41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</row>
    <row r="754" ht="14.25" customHeight="1">
      <c r="A754" s="41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</row>
    <row r="755" ht="14.25" customHeight="1">
      <c r="A755" s="41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</row>
    <row r="756" ht="14.25" customHeight="1">
      <c r="A756" s="41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</row>
    <row r="757" ht="14.25" customHeight="1">
      <c r="A757" s="41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</row>
    <row r="758" ht="14.25" customHeight="1">
      <c r="A758" s="41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</row>
    <row r="759" ht="14.25" customHeight="1">
      <c r="A759" s="41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</row>
    <row r="760" ht="14.25" customHeight="1">
      <c r="A760" s="41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</row>
    <row r="761" ht="14.25" customHeight="1">
      <c r="A761" s="41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</row>
    <row r="762" ht="14.25" customHeight="1">
      <c r="A762" s="41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</row>
    <row r="763" ht="14.25" customHeight="1">
      <c r="A763" s="41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</row>
    <row r="764" ht="14.25" customHeight="1">
      <c r="A764" s="41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</row>
    <row r="765" ht="14.25" customHeight="1">
      <c r="A765" s="41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</row>
    <row r="766" ht="14.25" customHeight="1">
      <c r="A766" s="41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</row>
    <row r="767" ht="14.25" customHeight="1">
      <c r="A767" s="41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</row>
    <row r="768" ht="14.25" customHeight="1">
      <c r="A768" s="41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</row>
    <row r="769" ht="14.25" customHeight="1">
      <c r="A769" s="41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</row>
    <row r="770" ht="14.25" customHeight="1">
      <c r="A770" s="41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</row>
    <row r="771" ht="14.25" customHeight="1">
      <c r="A771" s="41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</row>
    <row r="772" ht="14.25" customHeight="1">
      <c r="A772" s="41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</row>
    <row r="773" ht="14.25" customHeight="1">
      <c r="A773" s="41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</row>
    <row r="774" ht="14.25" customHeight="1">
      <c r="A774" s="41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</row>
    <row r="775" ht="14.25" customHeight="1">
      <c r="A775" s="41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</row>
    <row r="776" ht="14.25" customHeight="1">
      <c r="A776" s="41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</row>
    <row r="777" ht="14.25" customHeight="1">
      <c r="A777" s="41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</row>
    <row r="778" ht="14.25" customHeight="1">
      <c r="A778" s="41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</row>
    <row r="779" ht="14.25" customHeight="1">
      <c r="A779" s="41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</row>
    <row r="780" ht="14.25" customHeight="1">
      <c r="A780" s="41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</row>
    <row r="781" ht="14.25" customHeight="1">
      <c r="A781" s="41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</row>
    <row r="782" ht="14.25" customHeight="1">
      <c r="A782" s="41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</row>
    <row r="783" ht="14.25" customHeight="1">
      <c r="A783" s="41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</row>
    <row r="784" ht="14.25" customHeight="1">
      <c r="A784" s="41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</row>
    <row r="785" ht="14.25" customHeight="1">
      <c r="A785" s="41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</row>
    <row r="786" ht="14.25" customHeight="1">
      <c r="A786" s="41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</row>
    <row r="787" ht="14.25" customHeight="1">
      <c r="A787" s="41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</row>
    <row r="788" ht="14.25" customHeight="1">
      <c r="A788" s="41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</row>
    <row r="789" ht="14.25" customHeight="1">
      <c r="A789" s="41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</row>
    <row r="790" ht="14.25" customHeight="1">
      <c r="A790" s="41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</row>
    <row r="791" ht="14.25" customHeight="1">
      <c r="A791" s="41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</row>
    <row r="792" ht="14.25" customHeight="1">
      <c r="A792" s="41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</row>
    <row r="793" ht="14.25" customHeight="1">
      <c r="A793" s="41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</row>
    <row r="794" ht="14.25" customHeight="1">
      <c r="A794" s="41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</row>
    <row r="795" ht="14.25" customHeight="1">
      <c r="A795" s="41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</row>
    <row r="796" ht="14.25" customHeight="1">
      <c r="A796" s="41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</row>
    <row r="797" ht="14.25" customHeight="1">
      <c r="A797" s="41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</row>
    <row r="798" ht="14.25" customHeight="1">
      <c r="A798" s="41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</row>
    <row r="799" ht="14.25" customHeight="1">
      <c r="A799" s="41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</row>
    <row r="800" ht="14.25" customHeight="1">
      <c r="A800" s="41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</row>
    <row r="801" ht="14.25" customHeight="1">
      <c r="A801" s="41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</row>
    <row r="802" ht="14.25" customHeight="1">
      <c r="A802" s="41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</row>
    <row r="803" ht="14.25" customHeight="1">
      <c r="A803" s="41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</row>
    <row r="804" ht="14.25" customHeight="1">
      <c r="A804" s="41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</row>
    <row r="805" ht="14.25" customHeight="1">
      <c r="A805" s="41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</row>
    <row r="806" ht="14.25" customHeight="1">
      <c r="A806" s="41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</row>
    <row r="807" ht="14.25" customHeight="1">
      <c r="A807" s="41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</row>
    <row r="808" ht="14.25" customHeight="1">
      <c r="A808" s="41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</row>
    <row r="809" ht="14.25" customHeight="1">
      <c r="A809" s="41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</row>
    <row r="810" ht="14.25" customHeight="1">
      <c r="A810" s="41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</row>
    <row r="811" ht="14.25" customHeight="1">
      <c r="A811" s="41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</row>
    <row r="812" ht="14.25" customHeight="1">
      <c r="A812" s="41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</row>
    <row r="813" ht="14.25" customHeight="1">
      <c r="A813" s="41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</row>
    <row r="814" ht="14.25" customHeight="1">
      <c r="A814" s="41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</row>
    <row r="815" ht="14.25" customHeight="1">
      <c r="A815" s="41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</row>
    <row r="816" ht="14.25" customHeight="1">
      <c r="A816" s="41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</row>
    <row r="817" ht="14.25" customHeight="1">
      <c r="A817" s="41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</row>
    <row r="818" ht="14.25" customHeight="1">
      <c r="A818" s="41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</row>
    <row r="819" ht="14.25" customHeight="1">
      <c r="A819" s="41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</row>
    <row r="820" ht="14.25" customHeight="1">
      <c r="A820" s="41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</row>
    <row r="821" ht="14.25" customHeight="1">
      <c r="A821" s="41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</row>
    <row r="822" ht="14.25" customHeight="1">
      <c r="A822" s="41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</row>
    <row r="823" ht="14.25" customHeight="1">
      <c r="A823" s="41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</row>
    <row r="824" ht="14.25" customHeight="1">
      <c r="A824" s="41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</row>
    <row r="825" ht="14.25" customHeight="1">
      <c r="A825" s="41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</row>
    <row r="826" ht="14.25" customHeight="1">
      <c r="A826" s="41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</row>
    <row r="827" ht="14.25" customHeight="1">
      <c r="A827" s="41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</row>
    <row r="828" ht="14.25" customHeight="1">
      <c r="A828" s="41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</row>
    <row r="829" ht="14.25" customHeight="1">
      <c r="A829" s="41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</row>
    <row r="830" ht="14.25" customHeight="1">
      <c r="A830" s="41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</row>
    <row r="831" ht="14.25" customHeight="1">
      <c r="A831" s="41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</row>
    <row r="832" ht="14.25" customHeight="1">
      <c r="A832" s="41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</row>
    <row r="833" ht="14.25" customHeight="1">
      <c r="A833" s="41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</row>
    <row r="834" ht="14.25" customHeight="1">
      <c r="A834" s="41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</row>
    <row r="835" ht="14.25" customHeight="1">
      <c r="A835" s="41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</row>
    <row r="836" ht="14.25" customHeight="1">
      <c r="A836" s="41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</row>
    <row r="837" ht="14.25" customHeight="1">
      <c r="A837" s="41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</row>
    <row r="838" ht="14.25" customHeight="1">
      <c r="A838" s="41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</row>
    <row r="839" ht="14.25" customHeight="1">
      <c r="A839" s="41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</row>
    <row r="840" ht="14.25" customHeight="1">
      <c r="A840" s="41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</row>
    <row r="841" ht="14.25" customHeight="1">
      <c r="A841" s="41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</row>
    <row r="842" ht="14.25" customHeight="1">
      <c r="A842" s="41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</row>
    <row r="843" ht="14.25" customHeight="1">
      <c r="A843" s="41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</row>
    <row r="844" ht="14.25" customHeight="1">
      <c r="A844" s="41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</row>
    <row r="845" ht="14.25" customHeight="1">
      <c r="A845" s="41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</row>
    <row r="846" ht="14.25" customHeight="1">
      <c r="A846" s="41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</row>
    <row r="847" ht="14.25" customHeight="1">
      <c r="A847" s="41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</row>
    <row r="848" ht="14.25" customHeight="1">
      <c r="A848" s="41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</row>
    <row r="849" ht="14.25" customHeight="1">
      <c r="A849" s="41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</row>
    <row r="850" ht="14.25" customHeight="1">
      <c r="A850" s="41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</row>
    <row r="851" ht="14.25" customHeight="1">
      <c r="A851" s="41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</row>
    <row r="852" ht="14.25" customHeight="1">
      <c r="A852" s="41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</row>
    <row r="853" ht="14.25" customHeight="1">
      <c r="A853" s="41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</row>
    <row r="854" ht="14.25" customHeight="1">
      <c r="A854" s="41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</row>
    <row r="855" ht="14.25" customHeight="1">
      <c r="A855" s="41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</row>
    <row r="856" ht="14.25" customHeight="1">
      <c r="A856" s="41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</row>
    <row r="857" ht="14.25" customHeight="1">
      <c r="A857" s="41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</row>
    <row r="858" ht="14.25" customHeight="1">
      <c r="A858" s="41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</row>
    <row r="859" ht="14.25" customHeight="1">
      <c r="A859" s="41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</row>
    <row r="860" ht="14.25" customHeight="1">
      <c r="A860" s="41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</row>
    <row r="861" ht="14.25" customHeight="1">
      <c r="A861" s="41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</row>
    <row r="862" ht="14.25" customHeight="1">
      <c r="A862" s="41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</row>
    <row r="863" ht="14.25" customHeight="1">
      <c r="A863" s="41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</row>
    <row r="864" ht="14.25" customHeight="1">
      <c r="A864" s="41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</row>
    <row r="865" ht="14.25" customHeight="1">
      <c r="A865" s="41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</row>
    <row r="866" ht="14.25" customHeight="1">
      <c r="A866" s="41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</row>
    <row r="867" ht="14.25" customHeight="1">
      <c r="A867" s="41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</row>
    <row r="868" ht="14.25" customHeight="1">
      <c r="A868" s="41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</row>
    <row r="869" ht="14.25" customHeight="1">
      <c r="A869" s="41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</row>
    <row r="870" ht="14.25" customHeight="1">
      <c r="A870" s="41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</row>
    <row r="871" ht="14.25" customHeight="1">
      <c r="A871" s="41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</row>
    <row r="872" ht="14.25" customHeight="1">
      <c r="A872" s="41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</row>
    <row r="873" ht="14.25" customHeight="1">
      <c r="A873" s="41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</row>
    <row r="874" ht="14.25" customHeight="1">
      <c r="A874" s="41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</row>
    <row r="875" ht="14.25" customHeight="1">
      <c r="A875" s="41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</row>
    <row r="876" ht="14.25" customHeight="1">
      <c r="A876" s="41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</row>
    <row r="877" ht="14.25" customHeight="1">
      <c r="A877" s="41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</row>
    <row r="878" ht="14.25" customHeight="1">
      <c r="A878" s="41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</row>
    <row r="879" ht="14.25" customHeight="1">
      <c r="A879" s="41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</row>
    <row r="880" ht="14.25" customHeight="1">
      <c r="A880" s="41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</row>
    <row r="881" ht="14.25" customHeight="1">
      <c r="A881" s="41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</row>
    <row r="882" ht="14.25" customHeight="1">
      <c r="A882" s="41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</row>
    <row r="883" ht="14.25" customHeight="1">
      <c r="A883" s="41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</row>
    <row r="884" ht="14.25" customHeight="1">
      <c r="A884" s="41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</row>
    <row r="885" ht="14.25" customHeight="1">
      <c r="A885" s="41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</row>
    <row r="886" ht="14.25" customHeight="1">
      <c r="A886" s="41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</row>
    <row r="887" ht="14.25" customHeight="1">
      <c r="A887" s="41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</row>
    <row r="888" ht="14.25" customHeight="1">
      <c r="A888" s="41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</row>
    <row r="889" ht="14.25" customHeight="1">
      <c r="A889" s="41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</row>
    <row r="890" ht="14.25" customHeight="1">
      <c r="A890" s="41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</row>
    <row r="891" ht="14.25" customHeight="1">
      <c r="A891" s="41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</row>
    <row r="892" ht="14.25" customHeight="1">
      <c r="A892" s="41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</row>
    <row r="893" ht="14.25" customHeight="1">
      <c r="A893" s="41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</row>
    <row r="894" ht="14.25" customHeight="1">
      <c r="A894" s="41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</row>
    <row r="895" ht="14.25" customHeight="1">
      <c r="A895" s="41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</row>
    <row r="896" ht="14.25" customHeight="1">
      <c r="A896" s="41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</row>
    <row r="897" ht="14.25" customHeight="1">
      <c r="A897" s="41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</row>
    <row r="898" ht="14.25" customHeight="1">
      <c r="A898" s="41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</row>
    <row r="899" ht="14.25" customHeight="1">
      <c r="A899" s="41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</row>
    <row r="900" ht="14.25" customHeight="1">
      <c r="A900" s="41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</row>
    <row r="901" ht="14.25" customHeight="1">
      <c r="A901" s="41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</row>
    <row r="902" ht="14.25" customHeight="1">
      <c r="A902" s="41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</row>
    <row r="903" ht="14.25" customHeight="1">
      <c r="A903" s="41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</row>
    <row r="904" ht="14.25" customHeight="1">
      <c r="A904" s="41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</row>
    <row r="905" ht="14.25" customHeight="1">
      <c r="A905" s="41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</row>
    <row r="906" ht="14.25" customHeight="1">
      <c r="A906" s="41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</row>
    <row r="907" ht="14.25" customHeight="1">
      <c r="A907" s="41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</row>
    <row r="908" ht="14.25" customHeight="1">
      <c r="A908" s="41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</row>
    <row r="909" ht="14.25" customHeight="1">
      <c r="A909" s="41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</row>
    <row r="910" ht="14.25" customHeight="1">
      <c r="A910" s="41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</row>
    <row r="911" ht="14.25" customHeight="1">
      <c r="A911" s="41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</row>
    <row r="912" ht="14.25" customHeight="1">
      <c r="A912" s="41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</row>
    <row r="913" ht="14.25" customHeight="1">
      <c r="A913" s="41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</row>
    <row r="914" ht="14.25" customHeight="1">
      <c r="A914" s="41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</row>
    <row r="915" ht="14.25" customHeight="1">
      <c r="A915" s="41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</row>
    <row r="916" ht="14.25" customHeight="1">
      <c r="A916" s="41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</row>
    <row r="917" ht="14.25" customHeight="1">
      <c r="A917" s="41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</row>
    <row r="918" ht="14.25" customHeight="1">
      <c r="A918" s="41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</row>
    <row r="919" ht="14.25" customHeight="1">
      <c r="A919" s="41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</row>
    <row r="920" ht="14.25" customHeight="1">
      <c r="A920" s="41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</row>
    <row r="921" ht="14.25" customHeight="1">
      <c r="A921" s="41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</row>
    <row r="922" ht="14.25" customHeight="1">
      <c r="A922" s="41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</row>
    <row r="923" ht="14.25" customHeight="1">
      <c r="A923" s="41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</row>
    <row r="924" ht="14.25" customHeight="1">
      <c r="A924" s="41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</row>
    <row r="925" ht="14.25" customHeight="1">
      <c r="A925" s="41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</row>
    <row r="926" ht="14.25" customHeight="1">
      <c r="A926" s="41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</row>
    <row r="927" ht="14.25" customHeight="1">
      <c r="A927" s="41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</row>
    <row r="928" ht="14.25" customHeight="1">
      <c r="A928" s="41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</row>
    <row r="929" ht="14.25" customHeight="1">
      <c r="A929" s="41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</row>
    <row r="930" ht="14.25" customHeight="1">
      <c r="A930" s="41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</row>
    <row r="931" ht="14.25" customHeight="1">
      <c r="A931" s="41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</row>
    <row r="932" ht="14.25" customHeight="1">
      <c r="A932" s="41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</row>
    <row r="933" ht="14.25" customHeight="1">
      <c r="A933" s="41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</row>
    <row r="934" ht="14.25" customHeight="1">
      <c r="A934" s="41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</row>
    <row r="935" ht="14.25" customHeight="1">
      <c r="A935" s="41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</row>
    <row r="936" ht="14.25" customHeight="1">
      <c r="A936" s="41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</row>
    <row r="937" ht="14.25" customHeight="1">
      <c r="A937" s="41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</row>
    <row r="938" ht="14.25" customHeight="1">
      <c r="A938" s="41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</row>
    <row r="939" ht="14.25" customHeight="1">
      <c r="A939" s="41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</row>
    <row r="940" ht="14.25" customHeight="1">
      <c r="A940" s="41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</row>
    <row r="941" ht="14.25" customHeight="1">
      <c r="A941" s="41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</row>
    <row r="942" ht="14.25" customHeight="1">
      <c r="A942" s="41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</row>
    <row r="943" ht="14.25" customHeight="1">
      <c r="A943" s="41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</row>
    <row r="944" ht="14.25" customHeight="1">
      <c r="A944" s="41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</row>
    <row r="945" ht="14.25" customHeight="1">
      <c r="A945" s="41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</row>
    <row r="946" ht="14.25" customHeight="1">
      <c r="A946" s="41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</row>
    <row r="947" ht="14.25" customHeight="1">
      <c r="A947" s="41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</row>
    <row r="948" ht="14.25" customHeight="1">
      <c r="A948" s="41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</row>
    <row r="949" ht="14.25" customHeight="1">
      <c r="A949" s="41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</row>
    <row r="950" ht="14.25" customHeight="1">
      <c r="A950" s="41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</row>
    <row r="951" ht="14.25" customHeight="1">
      <c r="A951" s="41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</row>
    <row r="952" ht="14.25" customHeight="1">
      <c r="A952" s="41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</row>
    <row r="953" ht="14.25" customHeight="1">
      <c r="A953" s="41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</row>
    <row r="954" ht="14.25" customHeight="1">
      <c r="A954" s="41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</row>
    <row r="955" ht="14.25" customHeight="1">
      <c r="A955" s="41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</row>
    <row r="956" ht="14.25" customHeight="1">
      <c r="A956" s="41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</row>
    <row r="957" ht="14.25" customHeight="1">
      <c r="A957" s="41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</row>
    <row r="958" ht="14.25" customHeight="1">
      <c r="A958" s="41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</row>
    <row r="959" ht="14.25" customHeight="1">
      <c r="A959" s="41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</row>
    <row r="960" ht="14.25" customHeight="1">
      <c r="A960" s="41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</row>
    <row r="961" ht="14.25" customHeight="1">
      <c r="A961" s="41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</row>
    <row r="962" ht="14.25" customHeight="1">
      <c r="A962" s="41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</row>
    <row r="963" ht="14.25" customHeight="1">
      <c r="A963" s="41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</row>
    <row r="964" ht="14.25" customHeight="1">
      <c r="A964" s="41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</row>
    <row r="965" ht="14.25" customHeight="1">
      <c r="A965" s="41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</row>
    <row r="966" ht="14.25" customHeight="1">
      <c r="A966" s="41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</row>
    <row r="967" ht="14.25" customHeight="1">
      <c r="A967" s="41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</row>
    <row r="968" ht="14.25" customHeight="1">
      <c r="A968" s="41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</row>
    <row r="969" ht="14.25" customHeight="1">
      <c r="A969" s="41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</row>
    <row r="970" ht="14.25" customHeight="1">
      <c r="A970" s="41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</row>
    <row r="971" ht="14.25" customHeight="1">
      <c r="A971" s="41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</row>
    <row r="972" ht="14.25" customHeight="1">
      <c r="A972" s="41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</row>
    <row r="973" ht="14.25" customHeight="1">
      <c r="A973" s="41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</row>
    <row r="974" ht="14.25" customHeight="1">
      <c r="A974" s="41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</row>
    <row r="975" ht="14.25" customHeight="1">
      <c r="A975" s="41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</row>
    <row r="976" ht="14.25" customHeight="1">
      <c r="A976" s="41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</row>
    <row r="977" ht="14.25" customHeight="1">
      <c r="A977" s="41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</row>
    <row r="978" ht="14.25" customHeight="1">
      <c r="A978" s="41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</row>
    <row r="979" ht="14.25" customHeight="1">
      <c r="A979" s="41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</row>
    <row r="980" ht="14.25" customHeight="1">
      <c r="A980" s="41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</row>
    <row r="981" ht="14.25" customHeight="1">
      <c r="A981" s="41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</row>
    <row r="982" ht="14.25" customHeight="1">
      <c r="A982" s="41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</row>
    <row r="983" ht="14.25" customHeight="1">
      <c r="A983" s="41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</row>
    <row r="984" ht="14.25" customHeight="1">
      <c r="A984" s="41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</row>
    <row r="985" ht="14.25" customHeight="1">
      <c r="A985" s="41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</row>
    <row r="986" ht="14.25" customHeight="1">
      <c r="A986" s="41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</row>
    <row r="987" ht="14.25" customHeight="1">
      <c r="A987" s="41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</row>
    <row r="988" ht="14.25" customHeight="1">
      <c r="A988" s="41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</row>
    <row r="989" ht="14.25" customHeight="1">
      <c r="A989" s="41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</row>
    <row r="990" ht="14.25" customHeight="1">
      <c r="A990" s="41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</row>
    <row r="991" ht="14.25" customHeight="1">
      <c r="A991" s="41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</row>
    <row r="992" ht="14.25" customHeight="1">
      <c r="A992" s="41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</row>
    <row r="993" ht="14.25" customHeight="1">
      <c r="A993" s="41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</row>
    <row r="994" ht="14.25" customHeight="1">
      <c r="A994" s="41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</row>
    <row r="995" ht="14.25" customHeight="1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</row>
    <row r="996" ht="14.25" customHeight="1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</row>
    <row r="997" ht="14.25" customHeight="1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</row>
    <row r="998" ht="14.25" customHeight="1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</row>
    <row r="999" ht="14.25" customHeight="1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</row>
    <row r="1000" ht="14.25" customHeight="1">
      <c r="A1000" s="41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</row>
    <row r="1001" ht="14.25" customHeight="1">
      <c r="A1001" s="41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  <c r="AM1001" s="41"/>
      <c r="AN1001" s="41"/>
      <c r="AO1001" s="41"/>
      <c r="AP1001" s="41"/>
      <c r="AQ1001" s="41"/>
      <c r="AR1001" s="41"/>
      <c r="AS1001" s="41"/>
      <c r="AT1001" s="41"/>
      <c r="AU1001" s="41"/>
      <c r="AV1001" s="41"/>
      <c r="AW1001" s="41"/>
      <c r="AX1001" s="41"/>
      <c r="AY1001" s="41"/>
    </row>
    <row r="1002" ht="14.25" customHeight="1">
      <c r="A1002" s="41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  <c r="AM1002" s="41"/>
      <c r="AN1002" s="41"/>
      <c r="AO1002" s="41"/>
      <c r="AP1002" s="41"/>
      <c r="AQ1002" s="41"/>
      <c r="AR1002" s="41"/>
      <c r="AS1002" s="41"/>
      <c r="AT1002" s="41"/>
      <c r="AU1002" s="41"/>
      <c r="AV1002" s="41"/>
      <c r="AW1002" s="41"/>
      <c r="AX1002" s="41"/>
      <c r="AY1002" s="41"/>
    </row>
    <row r="1003" ht="14.25" customHeight="1">
      <c r="A1003" s="41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  <c r="AN1003" s="41"/>
      <c r="AO1003" s="41"/>
      <c r="AP1003" s="41"/>
      <c r="AQ1003" s="41"/>
      <c r="AR1003" s="41"/>
      <c r="AS1003" s="41"/>
      <c r="AT1003" s="41"/>
      <c r="AU1003" s="41"/>
      <c r="AV1003" s="41"/>
      <c r="AW1003" s="41"/>
      <c r="AX1003" s="41"/>
      <c r="AY1003" s="41"/>
    </row>
    <row r="1004" ht="14.25" customHeight="1">
      <c r="A1004" s="41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  <c r="AN1004" s="41"/>
      <c r="AO1004" s="41"/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/>
    </row>
    <row r="1005" ht="14.25" customHeight="1">
      <c r="A1005" s="41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N1005" s="41"/>
      <c r="AO1005" s="41"/>
      <c r="AP1005" s="41"/>
      <c r="AQ1005" s="41"/>
      <c r="AR1005" s="41"/>
      <c r="AS1005" s="41"/>
      <c r="AT1005" s="41"/>
      <c r="AU1005" s="41"/>
      <c r="AV1005" s="41"/>
      <c r="AW1005" s="41"/>
      <c r="AX1005" s="41"/>
      <c r="AY1005" s="41"/>
    </row>
    <row r="1006" ht="14.25" customHeight="1">
      <c r="A1006" s="41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1"/>
      <c r="AS1006" s="41"/>
      <c r="AT1006" s="41"/>
      <c r="AU1006" s="41"/>
      <c r="AV1006" s="41"/>
      <c r="AW1006" s="41"/>
      <c r="AX1006" s="41"/>
      <c r="AY1006" s="41"/>
    </row>
    <row r="1007" ht="14.25" customHeight="1">
      <c r="A1007" s="41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  <c r="AM1007" s="41"/>
      <c r="AN1007" s="41"/>
      <c r="AO1007" s="41"/>
      <c r="AP1007" s="41"/>
      <c r="AQ1007" s="41"/>
      <c r="AR1007" s="41"/>
      <c r="AS1007" s="41"/>
      <c r="AT1007" s="41"/>
      <c r="AU1007" s="41"/>
      <c r="AV1007" s="41"/>
      <c r="AW1007" s="41"/>
      <c r="AX1007" s="41"/>
      <c r="AY1007" s="41"/>
    </row>
    <row r="1008" ht="14.25" customHeight="1">
      <c r="A1008" s="41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  <c r="AM1008" s="41"/>
      <c r="AN1008" s="41"/>
      <c r="AO1008" s="41"/>
      <c r="AP1008" s="41"/>
      <c r="AQ1008" s="41"/>
      <c r="AR1008" s="41"/>
      <c r="AS1008" s="41"/>
      <c r="AT1008" s="41"/>
      <c r="AU1008" s="41"/>
      <c r="AV1008" s="41"/>
      <c r="AW1008" s="41"/>
      <c r="AX1008" s="41"/>
      <c r="AY1008" s="41"/>
    </row>
    <row r="1009" ht="14.25" customHeight="1">
      <c r="A1009" s="41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/>
      <c r="AY1009" s="41"/>
    </row>
    <row r="1010" ht="14.25" customHeight="1">
      <c r="A1010" s="41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  <c r="AM1010" s="41"/>
      <c r="AN1010" s="41"/>
      <c r="AO1010" s="41"/>
      <c r="AP1010" s="41"/>
      <c r="AQ1010" s="41"/>
      <c r="AR1010" s="41"/>
      <c r="AS1010" s="41"/>
      <c r="AT1010" s="41"/>
      <c r="AU1010" s="41"/>
      <c r="AV1010" s="41"/>
      <c r="AW1010" s="41"/>
      <c r="AX1010" s="41"/>
      <c r="AY1010" s="41"/>
    </row>
  </sheetData>
  <mergeCells count="16">
    <mergeCell ref="C2:G2"/>
    <mergeCell ref="I2:M2"/>
    <mergeCell ref="O2:S2"/>
    <mergeCell ref="U2:Y2"/>
    <mergeCell ref="I3:K3"/>
    <mergeCell ref="O3:Q3"/>
    <mergeCell ref="U3:W3"/>
    <mergeCell ref="U28:Y28"/>
    <mergeCell ref="U29:W29"/>
    <mergeCell ref="C3:E3"/>
    <mergeCell ref="C28:G28"/>
    <mergeCell ref="I28:M28"/>
    <mergeCell ref="O28:S28"/>
    <mergeCell ref="C29:E29"/>
    <mergeCell ref="I29:K29"/>
    <mergeCell ref="O29:Q29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min="3" max="3" width="12.25"/>
    <col customWidth="1" min="4" max="4" width="15.5"/>
    <col customWidth="1" min="5" max="5" width="8.88"/>
    <col customWidth="1" min="6" max="6" width="10.13"/>
    <col customWidth="1" min="7" max="7" width="18.25"/>
    <col customWidth="1" min="8" max="8" width="10.5"/>
    <col customWidth="1" min="9" max="9" width="11.63"/>
    <col customWidth="1" min="10" max="10" width="10.38"/>
    <col customWidth="1" min="11" max="11" width="8.5"/>
    <col customWidth="1" min="12" max="12" width="14.75"/>
    <col customWidth="1" min="13" max="13" width="16.88"/>
    <col customWidth="1" min="14" max="14" width="16.0"/>
    <col customWidth="1" min="15" max="15" width="17.63"/>
    <col customWidth="1" min="16" max="16" width="13.63"/>
    <col customWidth="1" min="17" max="17" width="11.13"/>
    <col customWidth="1" min="18" max="18" width="15.75"/>
    <col customWidth="1" min="19" max="29" width="7.63"/>
  </cols>
  <sheetData>
    <row r="1" ht="12.75" customHeight="1">
      <c r="C1" s="1"/>
      <c r="F1" s="1"/>
      <c r="G1" s="1"/>
      <c r="L1" s="1"/>
    </row>
    <row r="2" ht="12.75" customHeight="1">
      <c r="C2" s="1"/>
      <c r="F2" s="1"/>
      <c r="G2" s="1"/>
      <c r="L2" s="1"/>
    </row>
    <row r="3" ht="17.25" customHeight="1"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9"/>
      <c r="R3" s="98"/>
    </row>
    <row r="4" ht="17.25" customHeight="1">
      <c r="C4" s="100" t="s">
        <v>34</v>
      </c>
      <c r="D4" s="100" t="s">
        <v>159</v>
      </c>
      <c r="E4" s="100" t="s">
        <v>141</v>
      </c>
      <c r="F4" s="100" t="s">
        <v>160</v>
      </c>
      <c r="G4" s="101" t="s">
        <v>161</v>
      </c>
      <c r="H4" s="100" t="s">
        <v>162</v>
      </c>
      <c r="I4" s="100" t="s">
        <v>163</v>
      </c>
      <c r="J4" s="100" t="s">
        <v>164</v>
      </c>
      <c r="K4" s="100" t="s">
        <v>165</v>
      </c>
      <c r="L4" s="100" t="s">
        <v>166</v>
      </c>
      <c r="M4" s="100" t="s">
        <v>167</v>
      </c>
      <c r="N4" s="100" t="s">
        <v>23</v>
      </c>
      <c r="O4" s="100" t="s">
        <v>35</v>
      </c>
      <c r="P4" s="100" t="s">
        <v>35</v>
      </c>
      <c r="Q4" s="101" t="s">
        <v>23</v>
      </c>
    </row>
    <row r="5" ht="17.25" customHeight="1">
      <c r="B5" s="1"/>
      <c r="C5" s="100">
        <f t="shared" ref="C5:C25" si="1">_xlfn.RANK.EQ(E5,$E$5:$E$25)</f>
        <v>1</v>
      </c>
      <c r="D5" s="102" t="s">
        <v>17</v>
      </c>
      <c r="E5" s="103">
        <f t="shared" ref="E5:E25" si="2">L5+F5+P5+K5+J5+I5+H5+Q5+G5</f>
        <v>183.7</v>
      </c>
      <c r="F5" s="100">
        <f>HLOOKUP($D5,'1a FASE'!$C$2:$W$4,2,FALSE)</f>
        <v>106.9</v>
      </c>
      <c r="G5" s="104">
        <f>VLOOKUP(D5, PLAYOFF_1aFASE!$B$98:$F$118, 5, FALSE)</f>
        <v>14</v>
      </c>
      <c r="H5" s="104">
        <f>VLOOKUP(D5, OITAVAS!$B$98:$F$118, 5, FALSE)</f>
        <v>56</v>
      </c>
      <c r="I5" s="101">
        <v>0.0</v>
      </c>
      <c r="J5" s="101">
        <v>0.0</v>
      </c>
      <c r="K5" s="101">
        <v>0.0</v>
      </c>
      <c r="L5" s="101">
        <f>VLOOKUP($D5, SC!$B$54:$C$74, 2, FALSE)</f>
        <v>6.8</v>
      </c>
      <c r="M5" s="100" t="str">
        <f>HLOOKUP(D5,'1a FASE'!$A$2:$W$7,6,FALSE)</f>
        <v>Real Madrid</v>
      </c>
      <c r="N5" s="100" t="str">
        <f>HLOOKUP(D5,'cálculo'!$C$2:$W$5,4,FALSE)</f>
        <v>Vitinha</v>
      </c>
      <c r="O5" s="100" t="str">
        <f>HLOOKUP(D5,'1a FASE'!$A$2:$W$7,4,FALSE)</f>
        <v>Erling Haaland</v>
      </c>
      <c r="P5" s="100">
        <f>IF(O5=FINAL!$M$52,Pesos!$P$24,0)</f>
        <v>0</v>
      </c>
      <c r="Q5" s="100">
        <f>IF(N5=FINAL!$M$53,Pesos!$P$25,0)</f>
        <v>0</v>
      </c>
    </row>
    <row r="6" ht="17.25" customHeight="1">
      <c r="C6" s="100">
        <f t="shared" si="1"/>
        <v>2</v>
      </c>
      <c r="D6" s="102" t="s">
        <v>4</v>
      </c>
      <c r="E6" s="103">
        <f t="shared" si="2"/>
        <v>175.8</v>
      </c>
      <c r="F6" s="100">
        <f>HLOOKUP($D6,'1a FASE'!$C$2:$W$4,2,FALSE)</f>
        <v>102.6</v>
      </c>
      <c r="G6" s="104">
        <f>VLOOKUP(D6, PLAYOFF_1aFASE!$B$98:$F$118, 5, FALSE)</f>
        <v>20.5</v>
      </c>
      <c r="H6" s="104">
        <f>VLOOKUP(D6, OITAVAS!$B$98:$F$118, 5, FALSE)</f>
        <v>51</v>
      </c>
      <c r="I6" s="101">
        <v>0.0</v>
      </c>
      <c r="J6" s="101">
        <v>0.0</v>
      </c>
      <c r="K6" s="101">
        <v>0.0</v>
      </c>
      <c r="L6" s="101">
        <f>VLOOKUP($D6, SC!$B$54:$C$74, 2, FALSE)</f>
        <v>1.7</v>
      </c>
      <c r="M6" s="100" t="str">
        <f>HLOOKUP(D6,'1a FASE'!$A$2:$W$7,6,FALSE)</f>
        <v>Barcelona</v>
      </c>
      <c r="N6" s="100" t="str">
        <f>HLOOKUP(D6,'cálculo'!$C$2:$W$5,4,FALSE)</f>
        <v>Lamine Yamal</v>
      </c>
      <c r="O6" s="100" t="str">
        <f>HLOOKUP(D6,'1a FASE'!$A$2:$W$7,4,FALSE)</f>
        <v>João Pedro</v>
      </c>
      <c r="P6" s="100">
        <f>IF(O6=FINAL!$M$52,Pesos!$P$24,0)</f>
        <v>0</v>
      </c>
      <c r="Q6" s="100">
        <f>IF(N6=FINAL!$M$53,Pesos!$P$25,0)</f>
        <v>0</v>
      </c>
    </row>
    <row r="7" ht="17.25" customHeight="1">
      <c r="C7" s="100">
        <f t="shared" si="1"/>
        <v>3</v>
      </c>
      <c r="D7" s="102" t="s">
        <v>5</v>
      </c>
      <c r="E7" s="103">
        <f t="shared" si="2"/>
        <v>167.15</v>
      </c>
      <c r="F7" s="100">
        <f>HLOOKUP($D7,'1a FASE'!$C$2:$W$4,2,FALSE)</f>
        <v>93.55</v>
      </c>
      <c r="G7" s="104">
        <f>VLOOKUP(D7, PLAYOFF_1aFASE!$B$98:$F$118, 5, FALSE)</f>
        <v>10.5</v>
      </c>
      <c r="H7" s="104">
        <f>VLOOKUP(D7, OITAVAS!$B$98:$F$118, 5, FALSE)</f>
        <v>58</v>
      </c>
      <c r="I7" s="101">
        <v>0.0</v>
      </c>
      <c r="J7" s="101">
        <v>0.0</v>
      </c>
      <c r="K7" s="101">
        <v>0.0</v>
      </c>
      <c r="L7" s="101">
        <f>VLOOKUP($D7, SC!$B$54:$C$74, 2, FALSE)</f>
        <v>5.1</v>
      </c>
      <c r="M7" s="100" t="str">
        <f>HLOOKUP(D7,'1a FASE'!$A$2:$W$7,6,FALSE)</f>
        <v>Liverpool</v>
      </c>
      <c r="N7" s="100" t="str">
        <f>HLOOKUP(D7,'cálculo'!$C$2:$W$5,4,FALSE)</f>
        <v>Raphinha</v>
      </c>
      <c r="O7" s="100" t="str">
        <f>HLOOKUP(D7,'1a FASE'!$A$2:$W$7,4,FALSE)</f>
        <v>Ekitike </v>
      </c>
      <c r="P7" s="100">
        <f>IF(O7=FINAL!$M$52,Pesos!$P$24,0)</f>
        <v>0</v>
      </c>
      <c r="Q7" s="100">
        <f>IF(N7=FINAL!$M$53,Pesos!$P$25,0)</f>
        <v>0</v>
      </c>
    </row>
    <row r="8" ht="17.25" customHeight="1">
      <c r="C8" s="100">
        <f t="shared" si="1"/>
        <v>4</v>
      </c>
      <c r="D8" s="105" t="s">
        <v>21</v>
      </c>
      <c r="E8" s="103">
        <f t="shared" si="2"/>
        <v>163.25</v>
      </c>
      <c r="F8" s="100">
        <f>HLOOKUP($D8,'1a FASE'!$C$2:$W$4,2,FALSE)</f>
        <v>91.85</v>
      </c>
      <c r="G8" s="104">
        <f>VLOOKUP(D8, PLAYOFF_1aFASE!$B$98:$F$118, 5, FALSE)</f>
        <v>16</v>
      </c>
      <c r="H8" s="104">
        <f>VLOOKUP(D8, OITAVAS!$B$98:$F$118, 5, FALSE)</f>
        <v>52</v>
      </c>
      <c r="I8" s="101">
        <v>0.0</v>
      </c>
      <c r="J8" s="101">
        <v>0.0</v>
      </c>
      <c r="K8" s="101">
        <v>0.0</v>
      </c>
      <c r="L8" s="101">
        <f>VLOOKUP($D8, SC!$B$54:$C$74, 2, FALSE)</f>
        <v>3.4</v>
      </c>
      <c r="M8" s="100" t="str">
        <f>HLOOKUP(D8,'1a FASE'!$A$2:$W$7,6,FALSE)</f>
        <v>Liverpool</v>
      </c>
      <c r="N8" s="100" t="str">
        <f>HLOOKUP(D8,'cálculo'!$C$2:$W$5,4,FALSE)</f>
        <v>Vinícius Jr.</v>
      </c>
      <c r="O8" s="100" t="str">
        <f>HLOOKUP(D8,'1a FASE'!$A$2:$W$7,4,FALSE)</f>
        <v>Harry Kane</v>
      </c>
      <c r="P8" s="100">
        <f>IF(O8=FINAL!$M$52,Pesos!$P$24,0)</f>
        <v>0</v>
      </c>
      <c r="Q8" s="100">
        <f>IF(N8=FINAL!$M$53,Pesos!$P$25,0)</f>
        <v>0</v>
      </c>
    </row>
    <row r="9" ht="17.25" customHeight="1">
      <c r="C9" s="100">
        <f t="shared" si="1"/>
        <v>5</v>
      </c>
      <c r="D9" s="102" t="s">
        <v>13</v>
      </c>
      <c r="E9" s="103">
        <f t="shared" si="2"/>
        <v>161.1</v>
      </c>
      <c r="F9" s="100">
        <f>HLOOKUP($D9,'1a FASE'!$C$2:$W$4,2,FALSE)</f>
        <v>103.7</v>
      </c>
      <c r="G9" s="104">
        <f>VLOOKUP(D9, PLAYOFF_1aFASE!$B$98:$F$118, 5, FALSE)</f>
        <v>11</v>
      </c>
      <c r="H9" s="104">
        <f>VLOOKUP(D9, OITAVAS!$B$98:$F$118, 5, FALSE)</f>
        <v>43</v>
      </c>
      <c r="I9" s="101">
        <v>0.0</v>
      </c>
      <c r="J9" s="101">
        <v>0.0</v>
      </c>
      <c r="K9" s="101">
        <v>0.0</v>
      </c>
      <c r="L9" s="101">
        <f>VLOOKUP($D9, SC!$B$54:$C$74, 2, FALSE)</f>
        <v>3.4</v>
      </c>
      <c r="M9" s="100" t="str">
        <f>HLOOKUP(D9,'1a FASE'!$A$2:$W$7,6,FALSE)</f>
        <v>Barcelona</v>
      </c>
      <c r="N9" s="100" t="str">
        <f>HLOOKUP(D9,'cálculo'!$C$2:$W$5,4,FALSE)</f>
        <v>Cole Palmer</v>
      </c>
      <c r="O9" s="100" t="str">
        <f>HLOOKUP(D9,'1a FASE'!$A$2:$W$7,4,FALSE)</f>
        <v>Robert Lewandowski</v>
      </c>
      <c r="P9" s="100">
        <f>IF(O9=FINAL!$M$52,Pesos!$P$24,0)</f>
        <v>0</v>
      </c>
      <c r="Q9" s="100">
        <f>IF(N9=FINAL!$M$53,Pesos!$P$25,0)</f>
        <v>0</v>
      </c>
    </row>
    <row r="10" ht="17.25" customHeight="1">
      <c r="C10" s="100">
        <f t="shared" si="1"/>
        <v>6</v>
      </c>
      <c r="D10" s="102" t="s">
        <v>6</v>
      </c>
      <c r="E10" s="103">
        <f t="shared" si="2"/>
        <v>159.4</v>
      </c>
      <c r="F10" s="100">
        <f>HLOOKUP($D10,'1a FASE'!$C$2:$W$4,2,FALSE)</f>
        <v>95</v>
      </c>
      <c r="G10" s="104">
        <f>VLOOKUP(D10, PLAYOFF_1aFASE!$B$98:$F$118, 5, FALSE)</f>
        <v>13</v>
      </c>
      <c r="H10" s="104">
        <f>VLOOKUP(D10, OITAVAS!$B$98:$F$118, 5, FALSE)</f>
        <v>48</v>
      </c>
      <c r="I10" s="101">
        <v>0.0</v>
      </c>
      <c r="J10" s="101">
        <v>0.0</v>
      </c>
      <c r="K10" s="101">
        <v>0.0</v>
      </c>
      <c r="L10" s="101">
        <f>VLOOKUP($D10, SC!$B$54:$C$74, 2, FALSE)</f>
        <v>3.4</v>
      </c>
      <c r="M10" s="100" t="str">
        <f>HLOOKUP(D10,'1a FASE'!$A$2:$W$7,6,FALSE)</f>
        <v>Barcelona</v>
      </c>
      <c r="N10" s="100" t="str">
        <f>HLOOKUP(D10,'cálculo'!$C$2:$W$5,4,FALSE)</f>
        <v>Lamine Yamal</v>
      </c>
      <c r="O10" s="100" t="str">
        <f>HLOOKUP(D10,'1a FASE'!$A$2:$W$7,4,FALSE)</f>
        <v>Raphinha</v>
      </c>
      <c r="P10" s="100">
        <f>IF(O10=FINAL!$M$52,Pesos!$P$24,0)</f>
        <v>0</v>
      </c>
      <c r="Q10" s="100">
        <f>IF(N10=FINAL!$M$53,Pesos!$P$25,0)</f>
        <v>0</v>
      </c>
    </row>
    <row r="11" ht="17.25" customHeight="1">
      <c r="C11" s="100">
        <f t="shared" si="1"/>
        <v>7</v>
      </c>
      <c r="D11" s="102" t="s">
        <v>12</v>
      </c>
      <c r="E11" s="103">
        <f t="shared" si="2"/>
        <v>157.55</v>
      </c>
      <c r="F11" s="100">
        <f>HLOOKUP($D11,'1a FASE'!$C$2:$W$4,2,FALSE)</f>
        <v>90.15</v>
      </c>
      <c r="G11" s="104">
        <f>VLOOKUP(D11, PLAYOFF_1aFASE!$B$98:$F$118, 5, FALSE)</f>
        <v>13</v>
      </c>
      <c r="H11" s="104">
        <f>VLOOKUP(D11, OITAVAS!$B$98:$F$118, 5, FALSE)</f>
        <v>51</v>
      </c>
      <c r="I11" s="101">
        <v>0.0</v>
      </c>
      <c r="J11" s="101">
        <v>0.0</v>
      </c>
      <c r="K11" s="101">
        <v>0.0</v>
      </c>
      <c r="L11" s="101">
        <f>VLOOKUP($D11, SC!$B$54:$C$74, 2, FALSE)</f>
        <v>3.4</v>
      </c>
      <c r="M11" s="100" t="str">
        <f>HLOOKUP(D11,'1a FASE'!$A$2:$W$7,6,FALSE)</f>
        <v>Liverpool</v>
      </c>
      <c r="N11" s="100" t="str">
        <f>HLOOKUP(D11,'cálculo'!$C$2:$W$5,4,FALSE)</f>
        <v>Ousmane Dembélé</v>
      </c>
      <c r="O11" s="100" t="str">
        <f>HLOOKUP(D11,'1a FASE'!$A$2:$W$7,4,FALSE)</f>
        <v>Erling Haaland</v>
      </c>
      <c r="P11" s="100">
        <f>IF(O11=FINAL!$M$52,Pesos!$P$24,0)</f>
        <v>0</v>
      </c>
      <c r="Q11" s="100">
        <f>IF(N11=FINAL!$M$53,Pesos!$P$25,0)</f>
        <v>0</v>
      </c>
    </row>
    <row r="12" ht="17.25" customHeight="1">
      <c r="C12" s="100">
        <f t="shared" si="1"/>
        <v>8</v>
      </c>
      <c r="D12" s="102" t="s">
        <v>7</v>
      </c>
      <c r="E12" s="103">
        <f t="shared" si="2"/>
        <v>156.1</v>
      </c>
      <c r="F12" s="100">
        <f>HLOOKUP($D12,'1a FASE'!$C$2:$W$4,2,FALSE)</f>
        <v>91</v>
      </c>
      <c r="G12" s="104">
        <f>VLOOKUP(D12, PLAYOFF_1aFASE!$B$98:$F$118, 5, FALSE)</f>
        <v>12</v>
      </c>
      <c r="H12" s="104">
        <f>VLOOKUP(D12, OITAVAS!$B$98:$F$118, 5, FALSE)</f>
        <v>48</v>
      </c>
      <c r="I12" s="101">
        <v>0.0</v>
      </c>
      <c r="J12" s="101">
        <v>0.0</v>
      </c>
      <c r="K12" s="101">
        <v>0.0</v>
      </c>
      <c r="L12" s="101">
        <f>VLOOKUP($D12, SC!$B$54:$C$74, 2, FALSE)</f>
        <v>5.1</v>
      </c>
      <c r="M12" s="100" t="str">
        <f>HLOOKUP(D12,'1a FASE'!$A$2:$W$7,6,FALSE)</f>
        <v>Barcelona</v>
      </c>
      <c r="N12" s="100" t="str">
        <f>HLOOKUP(D12,'cálculo'!$C$2:$W$5,4,FALSE)</f>
        <v>Lamine Yamal</v>
      </c>
      <c r="O12" s="100" t="str">
        <f>HLOOKUP(D12,'1a FASE'!$A$2:$W$7,4,FALSE)</f>
        <v>Robert Lewandowski</v>
      </c>
      <c r="P12" s="100">
        <f>IF(O12=FINAL!$M$52,Pesos!$P$24,0)</f>
        <v>0</v>
      </c>
      <c r="Q12" s="100">
        <f>IF(N12=FINAL!$M$53,Pesos!$P$25,0)</f>
        <v>0</v>
      </c>
    </row>
    <row r="13" ht="17.25" customHeight="1">
      <c r="C13" s="100">
        <f t="shared" si="1"/>
        <v>9</v>
      </c>
      <c r="D13" s="102" t="s">
        <v>16</v>
      </c>
      <c r="E13" s="103">
        <f t="shared" si="2"/>
        <v>154.45</v>
      </c>
      <c r="F13" s="100">
        <f>HLOOKUP($D13,'1a FASE'!$C$2:$W$4,2,FALSE)</f>
        <v>96.65</v>
      </c>
      <c r="G13" s="104">
        <f>VLOOKUP(D13, PLAYOFF_1aFASE!$B$98:$F$118, 5, FALSE)</f>
        <v>11</v>
      </c>
      <c r="H13" s="104">
        <f>VLOOKUP(D13, OITAVAS!$B$98:$F$118, 5, FALSE)</f>
        <v>40</v>
      </c>
      <c r="I13" s="101">
        <v>0.0</v>
      </c>
      <c r="J13" s="101">
        <v>0.0</v>
      </c>
      <c r="K13" s="101">
        <v>0.0</v>
      </c>
      <c r="L13" s="101">
        <f>VLOOKUP($D13, SC!$B$54:$C$74, 2, FALSE)</f>
        <v>6.8</v>
      </c>
      <c r="M13" s="100" t="str">
        <f>HLOOKUP(D13,'1a FASE'!$A$2:$W$7,6,FALSE)</f>
        <v>Barcelona</v>
      </c>
      <c r="N13" s="100" t="str">
        <f>HLOOKUP(D13,'cálculo'!$C$2:$W$5,4,FALSE)</f>
        <v>Raphinha</v>
      </c>
      <c r="O13" s="100" t="str">
        <f>HLOOKUP(D13,'1a FASE'!$A$2:$W$7,4,FALSE)</f>
        <v>Kylian Mbappé</v>
      </c>
      <c r="P13" s="100">
        <f>IF(O13=FINAL!$M$52,Pesos!$P$24,0)</f>
        <v>0</v>
      </c>
      <c r="Q13" s="100">
        <f>IF(N13=FINAL!$M$53,Pesos!$P$25,0)</f>
        <v>0</v>
      </c>
    </row>
    <row r="14" ht="17.25" customHeight="1">
      <c r="B14" s="1"/>
      <c r="C14" s="100">
        <f t="shared" si="1"/>
        <v>10</v>
      </c>
      <c r="D14" s="102" t="s">
        <v>15</v>
      </c>
      <c r="E14" s="103">
        <f t="shared" si="2"/>
        <v>153.85</v>
      </c>
      <c r="F14" s="100">
        <f>HLOOKUP($D14,'1a FASE'!$C$2:$W$4,2,FALSE)</f>
        <v>100.65</v>
      </c>
      <c r="G14" s="104">
        <f>VLOOKUP(D14, PLAYOFF_1aFASE!$B$98:$F$118, 5, FALSE)</f>
        <v>10.5</v>
      </c>
      <c r="H14" s="104">
        <f>VLOOKUP(D14, OITAVAS!$B$98:$F$118, 5, FALSE)</f>
        <v>41</v>
      </c>
      <c r="I14" s="101">
        <v>0.0</v>
      </c>
      <c r="J14" s="101">
        <v>0.0</v>
      </c>
      <c r="K14" s="101">
        <v>0.0</v>
      </c>
      <c r="L14" s="101">
        <f>VLOOKUP($D14, SC!$B$54:$C$74, 2, FALSE)</f>
        <v>1.7</v>
      </c>
      <c r="M14" s="100" t="str">
        <f>HLOOKUP(D14,'1a FASE'!$A$2:$W$7,6,FALSE)</f>
        <v>Barcelona</v>
      </c>
      <c r="N14" s="100" t="str">
        <f>HLOOKUP(D14,'cálculo'!$C$2:$W$5,4,FALSE)</f>
        <v>Lamine Yamal</v>
      </c>
      <c r="O14" s="100" t="str">
        <f>HLOOKUP(D14,'1a FASE'!$A$2:$W$7,4,FALSE)</f>
        <v>Robert Lewandowski</v>
      </c>
      <c r="P14" s="100">
        <f>IF(O14=FINAL!$M$52,Pesos!$P$24,0)</f>
        <v>0</v>
      </c>
      <c r="Q14" s="100">
        <f>IF(N14=FINAL!$M$53,Pesos!$P$25,0)</f>
        <v>0</v>
      </c>
    </row>
    <row r="15" ht="17.25" customHeight="1">
      <c r="C15" s="100">
        <f t="shared" si="1"/>
        <v>11</v>
      </c>
      <c r="D15" s="102" t="s">
        <v>10</v>
      </c>
      <c r="E15" s="103">
        <f t="shared" si="2"/>
        <v>152.25</v>
      </c>
      <c r="F15" s="100">
        <f>HLOOKUP($D15,'1a FASE'!$C$2:$W$4,2,FALSE)</f>
        <v>91.85</v>
      </c>
      <c r="G15" s="104">
        <f>VLOOKUP(D15, PLAYOFF_1aFASE!$B$98:$F$118, 5, FALSE)</f>
        <v>16</v>
      </c>
      <c r="H15" s="104">
        <f>VLOOKUP(D15, OITAVAS!$B$98:$F$118, 5, FALSE)</f>
        <v>41</v>
      </c>
      <c r="I15" s="101">
        <v>0.0</v>
      </c>
      <c r="J15" s="101">
        <v>0.0</v>
      </c>
      <c r="K15" s="101">
        <v>0.0</v>
      </c>
      <c r="L15" s="101">
        <f>VLOOKUP($D15, SC!$B$54:$C$74, 2, FALSE)</f>
        <v>3.4</v>
      </c>
      <c r="M15" s="100" t="str">
        <f>HLOOKUP(D15,'1a FASE'!$A$2:$W$7,6,FALSE)</f>
        <v>Liverpool</v>
      </c>
      <c r="N15" s="100" t="str">
        <f>HLOOKUP(D15,'cálculo'!$C$2:$W$5,4,FALSE)</f>
        <v>Lamine Yamal</v>
      </c>
      <c r="O15" s="100" t="str">
        <f>HLOOKUP(D15,'1a FASE'!$A$2:$W$7,4,FALSE)</f>
        <v>Raphinha</v>
      </c>
      <c r="P15" s="100">
        <f>IF(O15=FINAL!$M$52,Pesos!$P$24,0)</f>
        <v>0</v>
      </c>
      <c r="Q15" s="100">
        <f>IF(N15=FINAL!$M$53,Pesos!$P$25,0)</f>
        <v>0</v>
      </c>
    </row>
    <row r="16" ht="17.25" customHeight="1">
      <c r="C16" s="100">
        <f t="shared" si="1"/>
        <v>12</v>
      </c>
      <c r="D16" s="102" t="s">
        <v>14</v>
      </c>
      <c r="E16" s="103">
        <f t="shared" si="2"/>
        <v>151.3</v>
      </c>
      <c r="F16" s="100">
        <f>HLOOKUP($D16,'1a FASE'!$C$2:$W$4,2,FALSE)</f>
        <v>91.8</v>
      </c>
      <c r="G16" s="104">
        <f>VLOOKUP(D16, PLAYOFF_1aFASE!$B$98:$F$118, 5, FALSE)</f>
        <v>12</v>
      </c>
      <c r="H16" s="104">
        <f>VLOOKUP(D16, OITAVAS!$B$98:$F$118, 5, FALSE)</f>
        <v>39</v>
      </c>
      <c r="I16" s="101">
        <v>0.0</v>
      </c>
      <c r="J16" s="101">
        <v>0.0</v>
      </c>
      <c r="K16" s="101">
        <v>0.0</v>
      </c>
      <c r="L16" s="101">
        <f>VLOOKUP($D16, SC!$B$54:$C$74, 2, FALSE)</f>
        <v>8.5</v>
      </c>
      <c r="M16" s="100" t="str">
        <f>HLOOKUP(D16,'1a FASE'!$A$2:$W$7,6,FALSE)</f>
        <v>Barcelona</v>
      </c>
      <c r="N16" s="100" t="str">
        <f>HLOOKUP(D16,'cálculo'!$C$2:$W$5,4,FALSE)</f>
        <v>Eberechi Eze</v>
      </c>
      <c r="O16" s="100" t="str">
        <f>HLOOKUP(D16,'1a FASE'!$A$2:$W$7,4,FALSE)</f>
        <v>Robert Lewandowski</v>
      </c>
      <c r="P16" s="100">
        <f>IF(O16=FINAL!$M$52,Pesos!$P$24,0)</f>
        <v>0</v>
      </c>
      <c r="Q16" s="100">
        <f>IF(N16=FINAL!$M$53,Pesos!$P$25,0)</f>
        <v>0</v>
      </c>
    </row>
    <row r="17" ht="17.25" customHeight="1">
      <c r="C17" s="100">
        <f t="shared" si="1"/>
        <v>13</v>
      </c>
      <c r="D17" s="105" t="s">
        <v>22</v>
      </c>
      <c r="E17" s="103">
        <f t="shared" si="2"/>
        <v>150.15</v>
      </c>
      <c r="F17" s="100">
        <f>HLOOKUP($D17,'1a FASE'!$C$2:$W$4,2,FALSE)</f>
        <v>86.75</v>
      </c>
      <c r="G17" s="104">
        <f>VLOOKUP(D17, PLAYOFF_1aFASE!$B$98:$F$118, 5, FALSE)</f>
        <v>15</v>
      </c>
      <c r="H17" s="104">
        <f>VLOOKUP(D17, OITAVAS!$B$98:$F$118, 5, FALSE)</f>
        <v>45</v>
      </c>
      <c r="I17" s="101">
        <v>0.0</v>
      </c>
      <c r="J17" s="101">
        <v>0.0</v>
      </c>
      <c r="K17" s="101">
        <v>0.0</v>
      </c>
      <c r="L17" s="101">
        <f>VLOOKUP($D17, SC!$B$54:$C$74, 2, FALSE)</f>
        <v>3.4</v>
      </c>
      <c r="M17" s="100" t="str">
        <f>HLOOKUP(D17,'1a FASE'!$A$2:$W$7,6,FALSE)</f>
        <v>Barcelona</v>
      </c>
      <c r="N17" s="100" t="str">
        <f>HLOOKUP(D17,'cálculo'!$C$2:$W$5,4,FALSE)</f>
        <v>Vinícius Jr.</v>
      </c>
      <c r="O17" s="100" t="str">
        <f>HLOOKUP(D17,'1a FASE'!$A$2:$W$7,4,FALSE)</f>
        <v>Kylian Mbappé</v>
      </c>
      <c r="P17" s="100">
        <f>IF(O17=FINAL!$M$52,Pesos!$P$24,0)</f>
        <v>0</v>
      </c>
      <c r="Q17" s="100">
        <f>IF(N17=FINAL!$M$53,Pesos!$P$25,0)</f>
        <v>0</v>
      </c>
      <c r="Y17" s="106" t="s">
        <v>168</v>
      </c>
    </row>
    <row r="18" ht="17.25" customHeight="1">
      <c r="C18" s="100">
        <f t="shared" si="1"/>
        <v>14</v>
      </c>
      <c r="D18" s="102" t="s">
        <v>9</v>
      </c>
      <c r="E18" s="103">
        <f t="shared" si="2"/>
        <v>149.7</v>
      </c>
      <c r="F18" s="100">
        <f>HLOOKUP($D18,'1a FASE'!$C$2:$W$4,2,FALSE)</f>
        <v>93</v>
      </c>
      <c r="G18" s="104">
        <f>VLOOKUP(D18, PLAYOFF_1aFASE!$B$98:$F$118, 5, FALSE)</f>
        <v>12</v>
      </c>
      <c r="H18" s="104">
        <f>VLOOKUP(D18, OITAVAS!$B$98:$F$118, 5, FALSE)</f>
        <v>43</v>
      </c>
      <c r="I18" s="101">
        <v>0.0</v>
      </c>
      <c r="J18" s="101">
        <v>0.0</v>
      </c>
      <c r="K18" s="101">
        <v>0.0</v>
      </c>
      <c r="L18" s="101">
        <f>VLOOKUP($D18, SC!$B$54:$C$74, 2, FALSE)</f>
        <v>1.7</v>
      </c>
      <c r="M18" s="100" t="str">
        <f>HLOOKUP(D18,'1a FASE'!$A$2:$W$7,6,FALSE)</f>
        <v>Paris Saint-Germain</v>
      </c>
      <c r="N18" s="100" t="str">
        <f>HLOOKUP(D18,'cálculo'!$C$2:$W$5,4,FALSE)</f>
        <v>Désiré Doué</v>
      </c>
      <c r="O18" s="100" t="str">
        <f>HLOOKUP(D18,'1a FASE'!$A$2:$W$7,4,FALSE)</f>
        <v>Erling Haaland</v>
      </c>
      <c r="P18" s="100">
        <f>IF(O18=FINAL!$M$52,Pesos!$P$24,0)</f>
        <v>0</v>
      </c>
      <c r="Q18" s="100">
        <f>IF(N18=FINAL!$M$53,Pesos!$P$25,0)</f>
        <v>0</v>
      </c>
    </row>
    <row r="19" ht="16.5" customHeight="1">
      <c r="C19" s="100">
        <f t="shared" si="1"/>
        <v>15</v>
      </c>
      <c r="D19" s="102" t="s">
        <v>3</v>
      </c>
      <c r="E19" s="103">
        <f t="shared" si="2"/>
        <v>148.2</v>
      </c>
      <c r="F19" s="100">
        <f>HLOOKUP($D19,'1a FASE'!$C$2:$W$4,2,FALSE)</f>
        <v>95</v>
      </c>
      <c r="G19" s="104">
        <f>VLOOKUP(D19, PLAYOFF_1aFASE!$B$98:$F$118, 5, FALSE)</f>
        <v>11.5</v>
      </c>
      <c r="H19" s="104">
        <f>VLOOKUP(D19, OITAVAS!$B$98:$F$118, 5, FALSE)</f>
        <v>40</v>
      </c>
      <c r="I19" s="101">
        <v>0.0</v>
      </c>
      <c r="J19" s="101">
        <v>0.0</v>
      </c>
      <c r="K19" s="101">
        <v>0.0</v>
      </c>
      <c r="L19" s="101">
        <f>VLOOKUP($D19, SC!$B$54:$C$74, 2, FALSE)</f>
        <v>1.7</v>
      </c>
      <c r="M19" s="100" t="str">
        <f>HLOOKUP(D19,'1a FASE'!$A$2:$W$7,6,FALSE)</f>
        <v>Barcelona</v>
      </c>
      <c r="N19" s="100" t="str">
        <f>HLOOKUP(D19,'cálculo'!$C$2:$W$5,4,FALSE)</f>
        <v>Mohamed Salah</v>
      </c>
      <c r="O19" s="100" t="str">
        <f>HLOOKUP(D19,'1a FASE'!$A$2:$W$7,4,FALSE)</f>
        <v>Mohamed Salah</v>
      </c>
      <c r="P19" s="100">
        <f>IF(O19=FINAL!$M$52,Pesos!$P$24,0)</f>
        <v>0</v>
      </c>
      <c r="Q19" s="100">
        <f>IF(N19=FINAL!$M$53,Pesos!$P$25,0)</f>
        <v>0</v>
      </c>
    </row>
    <row r="20" ht="15.0" customHeight="1">
      <c r="C20" s="100">
        <f t="shared" si="1"/>
        <v>16</v>
      </c>
      <c r="D20" s="102" t="s">
        <v>19</v>
      </c>
      <c r="E20" s="103">
        <f t="shared" si="2"/>
        <v>148.1</v>
      </c>
      <c r="F20" s="100">
        <f>HLOOKUP($D20,'1a FASE'!$C$2:$W$4,2,FALSE)</f>
        <v>88.5</v>
      </c>
      <c r="G20" s="104">
        <f>VLOOKUP(D20, PLAYOFF_1aFASE!$B$98:$F$118, 5, FALSE)</f>
        <v>15.5</v>
      </c>
      <c r="H20" s="104">
        <f>VLOOKUP(D20, OITAVAS!$B$98:$F$118, 5, FALSE)</f>
        <v>39</v>
      </c>
      <c r="I20" s="101">
        <v>0.0</v>
      </c>
      <c r="J20" s="101">
        <v>0.0</v>
      </c>
      <c r="K20" s="101">
        <v>0.0</v>
      </c>
      <c r="L20" s="101">
        <f>VLOOKUP($D20, SC!$B$54:$C$74, 2, FALSE)</f>
        <v>5.1</v>
      </c>
      <c r="M20" s="100" t="str">
        <f>HLOOKUP(D20,'1a FASE'!$A$2:$W$7,6,FALSE)</f>
        <v>Paris Saint-Germain</v>
      </c>
      <c r="N20" s="100" t="str">
        <f>HLOOKUP(D20,'cálculo'!$C$2:$W$5,4,FALSE)</f>
        <v>Raphinha</v>
      </c>
      <c r="O20" s="100" t="str">
        <f>HLOOKUP(D20,'1a FASE'!$A$2:$W$7,4,FALSE)</f>
        <v>Ousmane Dembélé</v>
      </c>
      <c r="P20" s="100">
        <f>IF(O20=FINAL!$M$52,Pesos!$P$24,0)</f>
        <v>0</v>
      </c>
      <c r="Q20" s="100">
        <f>IF(N20=FINAL!$M$53,Pesos!$P$25,0)</f>
        <v>0</v>
      </c>
    </row>
    <row r="21" ht="15.0" customHeight="1">
      <c r="C21" s="100">
        <f t="shared" si="1"/>
        <v>17</v>
      </c>
      <c r="D21" s="102" t="s">
        <v>2</v>
      </c>
      <c r="E21" s="103">
        <f t="shared" si="2"/>
        <v>146.7</v>
      </c>
      <c r="F21" s="100">
        <f>HLOOKUP($D21,'1a FASE'!$C$2:$W$4,2,FALSE)</f>
        <v>83.1</v>
      </c>
      <c r="G21" s="104">
        <f>VLOOKUP(D21, PLAYOFF_1aFASE!$B$98:$F$118, 5, FALSE)</f>
        <v>12.5</v>
      </c>
      <c r="H21" s="104">
        <f>VLOOKUP(D21, OITAVAS!$B$98:$F$118, 5, FALSE)</f>
        <v>46</v>
      </c>
      <c r="I21" s="101">
        <v>0.0</v>
      </c>
      <c r="J21" s="101">
        <v>0.0</v>
      </c>
      <c r="K21" s="101">
        <v>0.0</v>
      </c>
      <c r="L21" s="101">
        <f>VLOOKUP($D21, SC!$B$54:$C$74, 2, FALSE)</f>
        <v>5.1</v>
      </c>
      <c r="M21" s="100" t="str">
        <f>HLOOKUP(D21,'1a FASE'!$A$2:$W$7,6,FALSE)</f>
        <v>Real Madrid</v>
      </c>
      <c r="N21" s="100" t="str">
        <f>HLOOKUP(D21,'cálculo'!$C$2:$W$5,4,FALSE)</f>
        <v>Phil Foden</v>
      </c>
      <c r="O21" s="100" t="str">
        <f>HLOOKUP(D21,'1a FASE'!$A$2:$W$7,4,FALSE)</f>
        <v>Kylian Mbappé</v>
      </c>
      <c r="P21" s="100">
        <f>IF(O21=FINAL!$M$52,Pesos!$P$24,0)</f>
        <v>0</v>
      </c>
      <c r="Q21" s="100">
        <f>IF(N21=FINAL!$M$53,Pesos!$P$25,0)</f>
        <v>0</v>
      </c>
    </row>
    <row r="22" ht="15.0" customHeight="1">
      <c r="C22" s="100">
        <f t="shared" si="1"/>
        <v>18</v>
      </c>
      <c r="D22" s="102" t="s">
        <v>18</v>
      </c>
      <c r="E22" s="103">
        <f t="shared" si="2"/>
        <v>144.4</v>
      </c>
      <c r="F22" s="100">
        <f>HLOOKUP($D22,'1a FASE'!$C$2:$W$4,2,FALSE)</f>
        <v>91.6</v>
      </c>
      <c r="G22" s="104">
        <f>VLOOKUP(D22, PLAYOFF_1aFASE!$B$98:$F$118, 5, FALSE)</f>
        <v>12</v>
      </c>
      <c r="H22" s="104">
        <f>VLOOKUP(D22, OITAVAS!$B$98:$F$118, 5, FALSE)</f>
        <v>34</v>
      </c>
      <c r="I22" s="101">
        <v>0.0</v>
      </c>
      <c r="J22" s="101">
        <v>0.0</v>
      </c>
      <c r="K22" s="101">
        <v>0.0</v>
      </c>
      <c r="L22" s="101">
        <f>VLOOKUP($D22, SC!$B$54:$C$74, 2, FALSE)</f>
        <v>6.8</v>
      </c>
      <c r="M22" s="100" t="str">
        <f>HLOOKUP(D22,'1a FASE'!$A$2:$W$7,6,FALSE)</f>
        <v>Barcelona</v>
      </c>
      <c r="N22" s="100" t="str">
        <f>HLOOKUP(D22,'cálculo'!$C$2:$W$5,4,FALSE)</f>
        <v>Mohamed Salah</v>
      </c>
      <c r="O22" s="100" t="str">
        <f>HLOOKUP(D22,'1a FASE'!$A$2:$W$7,4,FALSE)</f>
        <v>Erling Haaland</v>
      </c>
      <c r="P22" s="100">
        <f>IF(O22=FINAL!$M$52,Pesos!$P$24,0)</f>
        <v>0</v>
      </c>
      <c r="Q22" s="100">
        <f>IF(N22=FINAL!$M$53,Pesos!$P$25,0)</f>
        <v>0</v>
      </c>
    </row>
    <row r="23" ht="15.75" customHeight="1">
      <c r="C23" s="100">
        <f t="shared" si="1"/>
        <v>19</v>
      </c>
      <c r="D23" s="105" t="s">
        <v>20</v>
      </c>
      <c r="E23" s="103">
        <f t="shared" si="2"/>
        <v>139.4</v>
      </c>
      <c r="F23" s="100">
        <f>HLOOKUP($D23,'1a FASE'!$C$2:$W$4,2,FALSE)</f>
        <v>81.7</v>
      </c>
      <c r="G23" s="104">
        <f>VLOOKUP(D23, PLAYOFF_1aFASE!$B$98:$F$118, 5, FALSE)</f>
        <v>17</v>
      </c>
      <c r="H23" s="104">
        <f>VLOOKUP(D23, OITAVAS!$B$98:$F$118, 5, FALSE)</f>
        <v>39</v>
      </c>
      <c r="I23" s="101">
        <v>0.0</v>
      </c>
      <c r="J23" s="101">
        <v>0.0</v>
      </c>
      <c r="K23" s="101">
        <v>0.0</v>
      </c>
      <c r="L23" s="101">
        <f>VLOOKUP($D23, SC!$B$54:$C$74, 2, FALSE)</f>
        <v>1.7</v>
      </c>
      <c r="M23" s="100" t="str">
        <f>HLOOKUP(D23,'1a FASE'!$A$2:$W$7,6,FALSE)</f>
        <v>Barcelona</v>
      </c>
      <c r="N23" s="100" t="str">
        <f>HLOOKUP(D23,'cálculo'!$C$2:$W$5,4,FALSE)</f>
        <v>Lamine Yamal</v>
      </c>
      <c r="O23" s="100" t="str">
        <f>HLOOKUP(D23,'1a FASE'!$A$2:$W$7,4,FALSE)</f>
        <v>Raphinha</v>
      </c>
      <c r="P23" s="100">
        <f>IF(O23=FINAL!$M$52,Pesos!$P$24,0)</f>
        <v>0</v>
      </c>
      <c r="Q23" s="100">
        <f>IF(N23=FINAL!$M$53,Pesos!$P$25,0)</f>
        <v>0</v>
      </c>
    </row>
    <row r="24" ht="15.75" customHeight="1">
      <c r="C24" s="100">
        <f t="shared" si="1"/>
        <v>20</v>
      </c>
      <c r="D24" s="102" t="s">
        <v>11</v>
      </c>
      <c r="E24" s="103">
        <f t="shared" si="2"/>
        <v>135.75</v>
      </c>
      <c r="F24" s="100">
        <f>HLOOKUP($D24,'1a FASE'!$C$2:$W$4,2,FALSE)</f>
        <v>90.15</v>
      </c>
      <c r="G24" s="104">
        <f>VLOOKUP(D24, PLAYOFF_1aFASE!$B$98:$F$118, 5, FALSE)</f>
        <v>12.5</v>
      </c>
      <c r="H24" s="104">
        <f>VLOOKUP(D24, OITAVAS!$B$98:$F$118, 5, FALSE)</f>
        <v>28</v>
      </c>
      <c r="I24" s="101">
        <v>0.0</v>
      </c>
      <c r="J24" s="101">
        <v>0.0</v>
      </c>
      <c r="K24" s="101">
        <v>0.0</v>
      </c>
      <c r="L24" s="101">
        <f>VLOOKUP($D24, SC!$B$54:$C$74, 2, FALSE)</f>
        <v>5.1</v>
      </c>
      <c r="M24" s="100" t="str">
        <f>HLOOKUP(D24,'1a FASE'!$A$2:$W$7,6,FALSE)</f>
        <v>Barcelona</v>
      </c>
      <c r="N24" s="100" t="str">
        <f>HLOOKUP(D24,'cálculo'!$C$2:$W$5,4,FALSE)</f>
        <v>Cole Palmer</v>
      </c>
      <c r="O24" s="100" t="str">
        <f>HLOOKUP(D24,'1a FASE'!$A$2:$W$7,4,FALSE)</f>
        <v>Raphinha</v>
      </c>
      <c r="P24" s="100">
        <f>IF(O24=FINAL!$M$52,Pesos!$P$24,0)</f>
        <v>0</v>
      </c>
      <c r="Q24" s="100">
        <f>IF(N24=FINAL!$M$53,Pesos!$P$25,0)</f>
        <v>0</v>
      </c>
    </row>
    <row r="25" ht="14.25" customHeight="1">
      <c r="C25" s="100">
        <f t="shared" si="1"/>
        <v>21</v>
      </c>
      <c r="D25" s="102" t="s">
        <v>8</v>
      </c>
      <c r="E25" s="103">
        <f t="shared" si="2"/>
        <v>133.8</v>
      </c>
      <c r="F25" s="100">
        <f>HLOOKUP($D25,'1a FASE'!$C$2:$W$4,2,FALSE)</f>
        <v>92.5</v>
      </c>
      <c r="G25" s="104">
        <f>VLOOKUP(D25, PLAYOFF_1aFASE!$B$98:$F$118, 5, FALSE)</f>
        <v>13.5</v>
      </c>
      <c r="H25" s="104">
        <f>VLOOKUP(D25, OITAVAS!$B$98:$F$118, 5, FALSE)</f>
        <v>21</v>
      </c>
      <c r="I25" s="101">
        <v>0.0</v>
      </c>
      <c r="J25" s="101">
        <v>0.0</v>
      </c>
      <c r="K25" s="101">
        <v>0.0</v>
      </c>
      <c r="L25" s="101">
        <f>VLOOKUP($D25, SC!$B$54:$C$74, 2, FALSE)</f>
        <v>6.8</v>
      </c>
      <c r="M25" s="100" t="str">
        <f>HLOOKUP(D25,'1a FASE'!$A$2:$W$7,6,FALSE)</f>
        <v>Chelsea</v>
      </c>
      <c r="N25" s="100" t="str">
        <f>HLOOKUP(D25,'cálculo'!$C$2:$W$5,4,FALSE)</f>
        <v>Lamine Yamal</v>
      </c>
      <c r="O25" s="100" t="str">
        <f>HLOOKUP(D25,'1a FASE'!$A$2:$W$7,4,FALSE)</f>
        <v>Harry Kane</v>
      </c>
      <c r="P25" s="100">
        <f>IF(O25=FINAL!$M$52,Pesos!$P$24,0)</f>
        <v>0</v>
      </c>
      <c r="Q25" s="100">
        <f>IF(N25=FINAL!$M$53,Pesos!$P$25,0)</f>
        <v>0</v>
      </c>
    </row>
    <row r="26" ht="12.75" customHeight="1">
      <c r="C26" s="1"/>
      <c r="F26" s="1"/>
      <c r="G26" s="1"/>
      <c r="L26" s="1"/>
    </row>
    <row r="27" ht="12.75" customHeight="1">
      <c r="C27" s="1"/>
      <c r="F27" s="1"/>
      <c r="G27" s="1"/>
      <c r="H27" s="107"/>
      <c r="I27" s="107"/>
      <c r="J27" s="107"/>
      <c r="K27" s="108"/>
      <c r="L27" s="1"/>
      <c r="R27" s="107"/>
    </row>
    <row r="28" ht="12.75" customHeight="1">
      <c r="C28" s="1"/>
      <c r="F28" s="1"/>
      <c r="G28" s="109">
        <f>VLOOKUP($D25,PLAYOFF_1aFASE!$B$98:$F$118,5,FALSE)</f>
        <v>13.5</v>
      </c>
      <c r="H28" s="110">
        <f>VLOOKUP($D24,OITAVAS!$B$98:$F$117,5,FALSE)</f>
        <v>28</v>
      </c>
      <c r="I28" s="106" t="str">
        <f>VLOOKUP($D24,QUARTAS!$B$98:$F$117,5,FALSE)</f>
        <v>#N/A</v>
      </c>
      <c r="J28" s="106">
        <f>VLOOKUP($D24,SEMI!$B$73:$F$92,5,FALSE)</f>
        <v>0</v>
      </c>
      <c r="K28" s="106">
        <f>VLOOKUP(D24, FINAL!$B$51:$C$70, 2, FALSE)</f>
        <v>0</v>
      </c>
      <c r="L28" s="1">
        <f>VLOOKUP($D25, SC!$B$54:$C$74, 2, FALSE)</f>
        <v>6.8</v>
      </c>
    </row>
    <row r="29" ht="12.75" customHeight="1">
      <c r="C29" s="1"/>
      <c r="F29" s="1"/>
      <c r="G29" s="1"/>
      <c r="L29" s="1"/>
    </row>
    <row r="30" ht="12.75" customHeight="1">
      <c r="C30" s="1"/>
      <c r="F30" s="1"/>
      <c r="G30" s="1"/>
      <c r="L30" s="1"/>
    </row>
    <row r="31" ht="12.75" customHeight="1">
      <c r="C31" s="1"/>
      <c r="F31" s="1"/>
      <c r="G31" s="1"/>
      <c r="L31" s="1"/>
    </row>
    <row r="32" ht="12.75" customHeight="1">
      <c r="C32" s="1"/>
      <c r="F32" s="1"/>
      <c r="G32" s="1"/>
      <c r="L32" s="1"/>
    </row>
    <row r="33" ht="12.75" customHeight="1">
      <c r="C33" s="1"/>
      <c r="F33" s="1"/>
      <c r="G33" s="1"/>
      <c r="L33" s="1"/>
    </row>
    <row r="34" ht="12.75" customHeight="1">
      <c r="C34" s="1"/>
      <c r="F34" s="1"/>
      <c r="G34" s="1"/>
      <c r="L34" s="1"/>
    </row>
    <row r="35" ht="12.75" customHeight="1">
      <c r="C35" s="1"/>
      <c r="F35" s="1"/>
      <c r="G35" s="1"/>
      <c r="L35" s="1"/>
    </row>
    <row r="36" ht="12.75" customHeight="1">
      <c r="C36" s="1"/>
      <c r="F36" s="1"/>
      <c r="G36" s="1"/>
      <c r="L36" s="1"/>
    </row>
    <row r="37" ht="12.75" customHeight="1">
      <c r="C37" s="1"/>
      <c r="F37" s="1"/>
      <c r="G37" s="1"/>
      <c r="L37" s="1"/>
    </row>
    <row r="38" ht="12.75" customHeight="1">
      <c r="C38" s="1"/>
      <c r="F38" s="1"/>
      <c r="G38" s="1"/>
      <c r="L38" s="1"/>
    </row>
    <row r="39" ht="12.75" customHeight="1">
      <c r="C39" s="1"/>
      <c r="F39" s="1"/>
      <c r="G39" s="1"/>
      <c r="L39" s="1"/>
    </row>
    <row r="40" ht="12.75" customHeight="1">
      <c r="C40" s="1"/>
      <c r="F40" s="1"/>
      <c r="G40" s="1"/>
      <c r="L40" s="1"/>
    </row>
    <row r="41" ht="12.75" customHeight="1">
      <c r="C41" s="1"/>
      <c r="F41" s="1"/>
      <c r="G41" s="1"/>
      <c r="L41" s="1"/>
    </row>
    <row r="42" ht="12.75" customHeight="1">
      <c r="C42" s="1"/>
      <c r="F42" s="1"/>
      <c r="G42" s="1"/>
      <c r="L42" s="1"/>
    </row>
    <row r="43" ht="12.75" customHeight="1">
      <c r="C43" s="1"/>
      <c r="F43" s="1"/>
      <c r="G43" s="1"/>
      <c r="L43" s="1"/>
    </row>
    <row r="44" ht="12.75" customHeight="1">
      <c r="C44" s="1"/>
      <c r="F44" s="1"/>
      <c r="G44" s="1"/>
      <c r="L44" s="1"/>
    </row>
    <row r="45" ht="12.75" customHeight="1">
      <c r="C45" s="1"/>
      <c r="F45" s="1"/>
      <c r="G45" s="1"/>
      <c r="L45" s="1"/>
    </row>
    <row r="46" ht="12.75" customHeight="1">
      <c r="C46" s="1"/>
      <c r="F46" s="1"/>
      <c r="G46" s="1"/>
      <c r="L46" s="1"/>
    </row>
    <row r="47" ht="12.75" customHeight="1">
      <c r="C47" s="1"/>
      <c r="F47" s="1"/>
      <c r="G47" s="1"/>
      <c r="L47" s="1"/>
    </row>
    <row r="48" ht="12.75" customHeight="1">
      <c r="C48" s="1"/>
      <c r="F48" s="1"/>
      <c r="G48" s="1"/>
      <c r="L48" s="1"/>
    </row>
    <row r="49" ht="12.75" customHeight="1">
      <c r="C49" s="1"/>
      <c r="F49" s="1"/>
      <c r="G49" s="1"/>
      <c r="L49" s="1"/>
    </row>
    <row r="50" ht="12.75" customHeight="1">
      <c r="C50" s="1"/>
      <c r="F50" s="1"/>
      <c r="G50" s="1"/>
      <c r="L50" s="1"/>
    </row>
    <row r="51" ht="12.75" customHeight="1">
      <c r="C51" s="1"/>
      <c r="F51" s="1"/>
      <c r="G51" s="1"/>
      <c r="L51" s="1"/>
    </row>
    <row r="52" ht="12.75" customHeight="1">
      <c r="C52" s="1"/>
      <c r="F52" s="1"/>
      <c r="G52" s="1"/>
      <c r="L52" s="1"/>
    </row>
    <row r="53" ht="12.75" customHeight="1">
      <c r="C53" s="1"/>
      <c r="F53" s="1"/>
      <c r="G53" s="1"/>
      <c r="L53" s="1"/>
    </row>
    <row r="54" ht="12.75" customHeight="1">
      <c r="C54" s="1"/>
      <c r="F54" s="1"/>
      <c r="G54" s="1"/>
      <c r="L54" s="1"/>
    </row>
    <row r="55" ht="12.75" customHeight="1">
      <c r="C55" s="1"/>
      <c r="F55" s="1"/>
      <c r="G55" s="1"/>
      <c r="L55" s="1"/>
    </row>
    <row r="56" ht="12.75" customHeight="1">
      <c r="C56" s="1"/>
      <c r="F56" s="1"/>
      <c r="G56" s="1"/>
      <c r="L56" s="1"/>
    </row>
    <row r="57" ht="12.75" customHeight="1">
      <c r="C57" s="1"/>
      <c r="F57" s="1"/>
      <c r="G57" s="1"/>
      <c r="L57" s="1"/>
    </row>
    <row r="58" ht="12.75" customHeight="1">
      <c r="C58" s="1"/>
      <c r="F58" s="1"/>
      <c r="G58" s="1"/>
      <c r="L58" s="1"/>
    </row>
    <row r="59" ht="12.75" customHeight="1">
      <c r="C59" s="1"/>
      <c r="F59" s="1"/>
      <c r="G59" s="1"/>
      <c r="L59" s="1"/>
    </row>
    <row r="60" ht="12.75" customHeight="1">
      <c r="C60" s="1"/>
      <c r="F60" s="1"/>
      <c r="G60" s="1"/>
      <c r="L60" s="1"/>
    </row>
    <row r="61" ht="12.75" customHeight="1">
      <c r="C61" s="1"/>
      <c r="F61" s="1"/>
      <c r="G61" s="1"/>
      <c r="L61" s="1"/>
    </row>
    <row r="62" ht="12.75" customHeight="1">
      <c r="C62" s="1"/>
      <c r="F62" s="1"/>
      <c r="G62" s="1"/>
      <c r="L62" s="1"/>
    </row>
    <row r="63" ht="12.75" customHeight="1">
      <c r="C63" s="1"/>
      <c r="F63" s="1"/>
      <c r="G63" s="1"/>
      <c r="L63" s="1"/>
    </row>
    <row r="64" ht="12.75" customHeight="1">
      <c r="C64" s="1"/>
      <c r="F64" s="1"/>
      <c r="G64" s="1"/>
      <c r="L64" s="1"/>
    </row>
    <row r="65" ht="12.75" customHeight="1">
      <c r="C65" s="1"/>
      <c r="F65" s="1"/>
      <c r="G65" s="1"/>
      <c r="L65" s="1"/>
    </row>
    <row r="66" ht="12.75" customHeight="1">
      <c r="C66" s="1"/>
      <c r="F66" s="1"/>
      <c r="G66" s="1"/>
      <c r="L66" s="1"/>
    </row>
    <row r="67" ht="12.75" customHeight="1">
      <c r="C67" s="1"/>
      <c r="F67" s="1"/>
      <c r="G67" s="1"/>
      <c r="L67" s="1"/>
    </row>
    <row r="68" ht="12.75" customHeight="1">
      <c r="C68" s="1"/>
      <c r="F68" s="1"/>
      <c r="G68" s="1"/>
      <c r="L68" s="1"/>
    </row>
    <row r="69" ht="12.75" customHeight="1">
      <c r="C69" s="1"/>
      <c r="F69" s="1"/>
      <c r="G69" s="1"/>
      <c r="L69" s="1"/>
    </row>
    <row r="70" ht="12.75" customHeight="1">
      <c r="C70" s="1"/>
      <c r="F70" s="1"/>
      <c r="G70" s="1"/>
      <c r="L70" s="1"/>
    </row>
    <row r="71" ht="12.75" customHeight="1">
      <c r="C71" s="1"/>
      <c r="F71" s="1"/>
      <c r="G71" s="1"/>
      <c r="L71" s="1"/>
    </row>
    <row r="72" ht="12.75" customHeight="1">
      <c r="C72" s="1"/>
      <c r="F72" s="1"/>
      <c r="G72" s="1"/>
      <c r="L72" s="1"/>
    </row>
    <row r="73" ht="12.75" customHeight="1">
      <c r="C73" s="1"/>
      <c r="F73" s="1"/>
      <c r="G73" s="1"/>
      <c r="L73" s="1"/>
    </row>
    <row r="74" ht="12.75" customHeight="1">
      <c r="C74" s="1"/>
      <c r="F74" s="1"/>
      <c r="G74" s="1"/>
      <c r="L74" s="1"/>
    </row>
    <row r="75" ht="12.75" customHeight="1">
      <c r="C75" s="1"/>
      <c r="F75" s="1"/>
      <c r="G75" s="1"/>
      <c r="L75" s="1"/>
    </row>
    <row r="76" ht="12.75" customHeight="1">
      <c r="C76" s="1"/>
      <c r="F76" s="1"/>
      <c r="G76" s="1"/>
      <c r="L76" s="1"/>
    </row>
    <row r="77" ht="12.75" customHeight="1">
      <c r="C77" s="1"/>
      <c r="F77" s="1"/>
      <c r="G77" s="1"/>
      <c r="L77" s="1"/>
    </row>
    <row r="78" ht="12.75" customHeight="1">
      <c r="C78" s="1"/>
      <c r="F78" s="1"/>
      <c r="G78" s="1"/>
      <c r="L78" s="1"/>
    </row>
    <row r="79" ht="12.75" customHeight="1">
      <c r="C79" s="1"/>
      <c r="F79" s="1"/>
      <c r="G79" s="1"/>
      <c r="L79" s="1"/>
    </row>
    <row r="80" ht="12.75" customHeight="1">
      <c r="C80" s="1"/>
      <c r="F80" s="1"/>
      <c r="G80" s="1"/>
      <c r="L80" s="1"/>
    </row>
    <row r="81" ht="12.75" customHeight="1">
      <c r="C81" s="1"/>
      <c r="F81" s="1"/>
      <c r="G81" s="1"/>
      <c r="L81" s="1"/>
    </row>
    <row r="82" ht="12.75" customHeight="1">
      <c r="C82" s="1"/>
      <c r="F82" s="1"/>
      <c r="G82" s="1"/>
      <c r="L82" s="1"/>
    </row>
    <row r="83" ht="12.75" customHeight="1">
      <c r="C83" s="1"/>
      <c r="F83" s="1"/>
      <c r="G83" s="1"/>
      <c r="L83" s="1"/>
    </row>
    <row r="84" ht="12.75" customHeight="1">
      <c r="C84" s="1"/>
      <c r="F84" s="1"/>
      <c r="G84" s="1"/>
      <c r="L84" s="1"/>
    </row>
    <row r="85" ht="12.75" customHeight="1">
      <c r="C85" s="1"/>
      <c r="F85" s="1"/>
      <c r="G85" s="1"/>
      <c r="L85" s="1"/>
    </row>
    <row r="86" ht="12.75" customHeight="1">
      <c r="C86" s="1"/>
      <c r="F86" s="1"/>
      <c r="G86" s="1"/>
      <c r="L86" s="1"/>
    </row>
    <row r="87" ht="12.75" customHeight="1">
      <c r="C87" s="1"/>
      <c r="F87" s="1"/>
      <c r="G87" s="1"/>
      <c r="L87" s="1"/>
    </row>
    <row r="88" ht="12.75" customHeight="1">
      <c r="C88" s="1"/>
      <c r="F88" s="1"/>
      <c r="G88" s="1"/>
      <c r="L88" s="1"/>
    </row>
    <row r="89" ht="12.75" customHeight="1">
      <c r="C89" s="1"/>
      <c r="F89" s="1"/>
      <c r="G89" s="1"/>
      <c r="L89" s="1"/>
    </row>
    <row r="90" ht="12.75" customHeight="1">
      <c r="C90" s="1"/>
      <c r="F90" s="1"/>
      <c r="G90" s="1"/>
      <c r="L90" s="1"/>
    </row>
    <row r="91" ht="12.75" customHeight="1">
      <c r="C91" s="1"/>
      <c r="F91" s="1"/>
      <c r="G91" s="1"/>
      <c r="L91" s="1"/>
    </row>
    <row r="92" ht="12.75" customHeight="1">
      <c r="C92" s="1"/>
      <c r="F92" s="1"/>
      <c r="G92" s="1"/>
      <c r="L92" s="1"/>
    </row>
    <row r="93" ht="12.75" customHeight="1">
      <c r="C93" s="1"/>
      <c r="F93" s="1"/>
      <c r="G93" s="1"/>
      <c r="L93" s="1"/>
    </row>
    <row r="94" ht="12.75" customHeight="1">
      <c r="C94" s="1"/>
      <c r="F94" s="1"/>
      <c r="G94" s="1"/>
      <c r="L94" s="1"/>
    </row>
    <row r="95" ht="12.75" customHeight="1">
      <c r="C95" s="1"/>
      <c r="F95" s="1"/>
      <c r="G95" s="1"/>
      <c r="L95" s="1"/>
    </row>
    <row r="96" ht="12.75" customHeight="1">
      <c r="C96" s="1"/>
      <c r="F96" s="1"/>
      <c r="G96" s="1"/>
      <c r="L96" s="1"/>
    </row>
    <row r="97" ht="12.75" customHeight="1">
      <c r="C97" s="1"/>
      <c r="F97" s="1"/>
      <c r="G97" s="1"/>
      <c r="L97" s="1"/>
    </row>
    <row r="98" ht="12.75" customHeight="1">
      <c r="C98" s="1"/>
      <c r="F98" s="1"/>
      <c r="G98" s="1"/>
      <c r="L98" s="1"/>
    </row>
    <row r="99" ht="12.75" customHeight="1">
      <c r="C99" s="1"/>
      <c r="F99" s="1"/>
      <c r="G99" s="1"/>
      <c r="L99" s="1"/>
    </row>
    <row r="100" ht="12.75" customHeight="1">
      <c r="C100" s="1"/>
      <c r="F100" s="1"/>
      <c r="G100" s="1"/>
      <c r="L100" s="1"/>
    </row>
    <row r="101" ht="12.75" customHeight="1">
      <c r="C101" s="1"/>
      <c r="F101" s="1"/>
      <c r="G101" s="1"/>
      <c r="L101" s="1"/>
    </row>
    <row r="102" ht="12.75" customHeight="1">
      <c r="C102" s="1"/>
      <c r="F102" s="1"/>
      <c r="G102" s="1"/>
      <c r="L102" s="1"/>
    </row>
    <row r="103" ht="12.75" customHeight="1">
      <c r="C103" s="1"/>
      <c r="F103" s="1"/>
      <c r="G103" s="1"/>
      <c r="L103" s="1"/>
    </row>
    <row r="104" ht="12.75" customHeight="1">
      <c r="C104" s="1"/>
      <c r="F104" s="1"/>
      <c r="G104" s="1"/>
      <c r="L104" s="1"/>
    </row>
    <row r="105" ht="12.75" customHeight="1">
      <c r="C105" s="1"/>
      <c r="F105" s="1"/>
      <c r="G105" s="1"/>
      <c r="L105" s="1"/>
    </row>
    <row r="106" ht="12.75" customHeight="1">
      <c r="C106" s="1"/>
      <c r="F106" s="1"/>
      <c r="G106" s="1"/>
      <c r="L106" s="1"/>
    </row>
    <row r="107" ht="12.75" customHeight="1">
      <c r="C107" s="1"/>
      <c r="F107" s="1"/>
      <c r="G107" s="1"/>
      <c r="L107" s="1"/>
    </row>
    <row r="108" ht="12.75" customHeight="1">
      <c r="C108" s="1"/>
      <c r="F108" s="1"/>
      <c r="G108" s="1"/>
      <c r="L108" s="1"/>
    </row>
    <row r="109" ht="12.75" customHeight="1">
      <c r="C109" s="1"/>
      <c r="F109" s="1"/>
      <c r="G109" s="1"/>
      <c r="L109" s="1"/>
    </row>
    <row r="110" ht="12.75" customHeight="1">
      <c r="C110" s="1"/>
      <c r="F110" s="1"/>
      <c r="G110" s="1"/>
      <c r="L110" s="1"/>
    </row>
    <row r="111" ht="12.75" customHeight="1">
      <c r="C111" s="1"/>
      <c r="F111" s="1"/>
      <c r="G111" s="1"/>
      <c r="L111" s="1"/>
    </row>
    <row r="112" ht="12.75" customHeight="1">
      <c r="C112" s="1"/>
      <c r="F112" s="1"/>
      <c r="G112" s="1"/>
      <c r="L112" s="1"/>
    </row>
    <row r="113" ht="12.75" customHeight="1">
      <c r="C113" s="1"/>
      <c r="F113" s="1"/>
      <c r="G113" s="1"/>
      <c r="L113" s="1"/>
    </row>
    <row r="114" ht="12.75" customHeight="1">
      <c r="C114" s="1"/>
      <c r="F114" s="1"/>
      <c r="G114" s="1"/>
      <c r="L114" s="1"/>
    </row>
    <row r="115" ht="12.75" customHeight="1">
      <c r="C115" s="1"/>
      <c r="F115" s="1"/>
      <c r="G115" s="1"/>
      <c r="L115" s="1"/>
    </row>
    <row r="116" ht="12.75" customHeight="1">
      <c r="C116" s="1"/>
      <c r="F116" s="1"/>
      <c r="G116" s="1"/>
      <c r="L116" s="1"/>
    </row>
    <row r="117" ht="12.75" customHeight="1">
      <c r="C117" s="1"/>
      <c r="F117" s="1"/>
      <c r="G117" s="1"/>
      <c r="L117" s="1"/>
    </row>
    <row r="118" ht="12.75" customHeight="1">
      <c r="C118" s="1"/>
      <c r="F118" s="1"/>
      <c r="G118" s="1"/>
      <c r="L118" s="1"/>
    </row>
    <row r="119" ht="12.75" customHeight="1">
      <c r="C119" s="1"/>
      <c r="F119" s="1"/>
      <c r="G119" s="1"/>
      <c r="L119" s="1"/>
    </row>
    <row r="120" ht="12.75" customHeight="1">
      <c r="C120" s="1"/>
      <c r="F120" s="1"/>
      <c r="G120" s="1"/>
      <c r="L120" s="1"/>
    </row>
    <row r="121" ht="12.75" customHeight="1">
      <c r="C121" s="1"/>
      <c r="F121" s="1"/>
      <c r="G121" s="1"/>
      <c r="L121" s="1"/>
    </row>
    <row r="122" ht="12.75" customHeight="1">
      <c r="C122" s="1"/>
      <c r="F122" s="1"/>
      <c r="G122" s="1"/>
      <c r="L122" s="1"/>
    </row>
    <row r="123" ht="12.75" customHeight="1">
      <c r="C123" s="1"/>
      <c r="F123" s="1"/>
      <c r="G123" s="1"/>
      <c r="L123" s="1"/>
    </row>
    <row r="124" ht="12.75" customHeight="1">
      <c r="C124" s="1"/>
      <c r="F124" s="1"/>
      <c r="G124" s="1"/>
      <c r="L124" s="1"/>
    </row>
    <row r="125" ht="12.75" customHeight="1">
      <c r="C125" s="1"/>
      <c r="F125" s="1"/>
      <c r="G125" s="1"/>
      <c r="L125" s="1"/>
    </row>
    <row r="126" ht="12.75" customHeight="1">
      <c r="C126" s="1"/>
      <c r="F126" s="1"/>
      <c r="G126" s="1"/>
      <c r="L126" s="1"/>
    </row>
    <row r="127" ht="12.75" customHeight="1">
      <c r="C127" s="1"/>
      <c r="F127" s="1"/>
      <c r="G127" s="1"/>
      <c r="L127" s="1"/>
    </row>
    <row r="128" ht="12.75" customHeight="1">
      <c r="C128" s="1"/>
      <c r="F128" s="1"/>
      <c r="G128" s="1"/>
      <c r="L128" s="1"/>
    </row>
    <row r="129" ht="12.75" customHeight="1">
      <c r="C129" s="1"/>
      <c r="F129" s="1"/>
      <c r="G129" s="1"/>
      <c r="L129" s="1"/>
    </row>
    <row r="130" ht="12.75" customHeight="1">
      <c r="C130" s="1"/>
      <c r="F130" s="1"/>
      <c r="G130" s="1"/>
      <c r="L130" s="1"/>
    </row>
    <row r="131" ht="12.75" customHeight="1">
      <c r="C131" s="1"/>
      <c r="F131" s="1"/>
      <c r="G131" s="1"/>
      <c r="L131" s="1"/>
    </row>
    <row r="132" ht="12.75" customHeight="1">
      <c r="C132" s="1"/>
      <c r="F132" s="1"/>
      <c r="G132" s="1"/>
      <c r="L132" s="1"/>
    </row>
    <row r="133" ht="12.75" customHeight="1">
      <c r="C133" s="1"/>
      <c r="F133" s="1"/>
      <c r="G133" s="1"/>
      <c r="L133" s="1"/>
    </row>
    <row r="134" ht="12.75" customHeight="1">
      <c r="C134" s="1"/>
      <c r="F134" s="1"/>
      <c r="G134" s="1"/>
      <c r="L134" s="1"/>
    </row>
    <row r="135" ht="12.75" customHeight="1">
      <c r="C135" s="1"/>
      <c r="F135" s="1"/>
      <c r="G135" s="1"/>
      <c r="L135" s="1"/>
    </row>
    <row r="136" ht="12.75" customHeight="1">
      <c r="C136" s="1"/>
      <c r="F136" s="1"/>
      <c r="G136" s="1"/>
      <c r="L136" s="1"/>
    </row>
    <row r="137" ht="12.75" customHeight="1">
      <c r="C137" s="1"/>
      <c r="F137" s="1"/>
      <c r="G137" s="1"/>
      <c r="L137" s="1"/>
    </row>
    <row r="138" ht="12.75" customHeight="1">
      <c r="C138" s="1"/>
      <c r="F138" s="1"/>
      <c r="G138" s="1"/>
      <c r="L138" s="1"/>
    </row>
    <row r="139" ht="12.75" customHeight="1">
      <c r="C139" s="1"/>
      <c r="F139" s="1"/>
      <c r="G139" s="1"/>
      <c r="L139" s="1"/>
    </row>
    <row r="140" ht="12.75" customHeight="1">
      <c r="C140" s="1"/>
      <c r="F140" s="1"/>
      <c r="G140" s="1"/>
      <c r="L140" s="1"/>
    </row>
    <row r="141" ht="12.75" customHeight="1">
      <c r="C141" s="1"/>
      <c r="F141" s="1"/>
      <c r="G141" s="1"/>
      <c r="L141" s="1"/>
    </row>
    <row r="142" ht="12.75" customHeight="1">
      <c r="C142" s="1"/>
      <c r="F142" s="1"/>
      <c r="G142" s="1"/>
      <c r="L142" s="1"/>
    </row>
    <row r="143" ht="12.75" customHeight="1">
      <c r="C143" s="1"/>
      <c r="F143" s="1"/>
      <c r="G143" s="1"/>
      <c r="L143" s="1"/>
    </row>
    <row r="144" ht="12.75" customHeight="1">
      <c r="C144" s="1"/>
      <c r="F144" s="1"/>
      <c r="G144" s="1"/>
      <c r="L144" s="1"/>
    </row>
    <row r="145" ht="12.75" customHeight="1">
      <c r="C145" s="1"/>
      <c r="F145" s="1"/>
      <c r="G145" s="1"/>
      <c r="L145" s="1"/>
    </row>
    <row r="146" ht="12.75" customHeight="1">
      <c r="C146" s="1"/>
      <c r="F146" s="1"/>
      <c r="G146" s="1"/>
      <c r="L146" s="1"/>
    </row>
    <row r="147" ht="12.75" customHeight="1">
      <c r="C147" s="1"/>
      <c r="F147" s="1"/>
      <c r="G147" s="1"/>
      <c r="L147" s="1"/>
    </row>
    <row r="148" ht="12.75" customHeight="1">
      <c r="C148" s="1"/>
      <c r="F148" s="1"/>
      <c r="G148" s="1"/>
      <c r="L148" s="1"/>
    </row>
    <row r="149" ht="12.75" customHeight="1">
      <c r="C149" s="1"/>
      <c r="F149" s="1"/>
      <c r="G149" s="1"/>
      <c r="L149" s="1"/>
    </row>
    <row r="150" ht="12.75" customHeight="1">
      <c r="C150" s="1"/>
      <c r="F150" s="1"/>
      <c r="G150" s="1"/>
      <c r="L150" s="1"/>
    </row>
    <row r="151" ht="12.75" customHeight="1">
      <c r="C151" s="1"/>
      <c r="F151" s="1"/>
      <c r="G151" s="1"/>
      <c r="L151" s="1"/>
    </row>
    <row r="152" ht="12.75" customHeight="1">
      <c r="C152" s="1"/>
      <c r="F152" s="1"/>
      <c r="G152" s="1"/>
      <c r="L152" s="1"/>
    </row>
    <row r="153" ht="12.75" customHeight="1">
      <c r="C153" s="1"/>
      <c r="F153" s="1"/>
      <c r="G153" s="1"/>
      <c r="L153" s="1"/>
    </row>
    <row r="154" ht="12.75" customHeight="1">
      <c r="C154" s="1"/>
      <c r="F154" s="1"/>
      <c r="G154" s="1"/>
      <c r="L154" s="1"/>
    </row>
    <row r="155" ht="12.75" customHeight="1">
      <c r="C155" s="1"/>
      <c r="F155" s="1"/>
      <c r="G155" s="1"/>
      <c r="L155" s="1"/>
    </row>
    <row r="156" ht="12.75" customHeight="1">
      <c r="C156" s="1"/>
      <c r="F156" s="1"/>
      <c r="G156" s="1"/>
      <c r="L156" s="1"/>
    </row>
    <row r="157" ht="12.75" customHeight="1">
      <c r="C157" s="1"/>
      <c r="F157" s="1"/>
      <c r="G157" s="1"/>
      <c r="L157" s="1"/>
    </row>
    <row r="158" ht="12.75" customHeight="1">
      <c r="C158" s="1"/>
      <c r="F158" s="1"/>
      <c r="G158" s="1"/>
      <c r="L158" s="1"/>
    </row>
    <row r="159" ht="12.75" customHeight="1">
      <c r="C159" s="1"/>
      <c r="F159" s="1"/>
      <c r="G159" s="1"/>
      <c r="L159" s="1"/>
    </row>
    <row r="160" ht="12.75" customHeight="1">
      <c r="C160" s="1"/>
      <c r="F160" s="1"/>
      <c r="G160" s="1"/>
      <c r="L160" s="1"/>
    </row>
    <row r="161" ht="12.75" customHeight="1">
      <c r="C161" s="1"/>
      <c r="F161" s="1"/>
      <c r="G161" s="1"/>
      <c r="L161" s="1"/>
    </row>
    <row r="162" ht="12.75" customHeight="1">
      <c r="C162" s="1"/>
      <c r="F162" s="1"/>
      <c r="G162" s="1"/>
      <c r="L162" s="1"/>
    </row>
    <row r="163" ht="12.75" customHeight="1">
      <c r="C163" s="1"/>
      <c r="F163" s="1"/>
      <c r="G163" s="1"/>
      <c r="L163" s="1"/>
    </row>
    <row r="164" ht="12.75" customHeight="1">
      <c r="C164" s="1"/>
      <c r="F164" s="1"/>
      <c r="G164" s="1"/>
      <c r="L164" s="1"/>
    </row>
    <row r="165" ht="12.75" customHeight="1">
      <c r="C165" s="1"/>
      <c r="F165" s="1"/>
      <c r="G165" s="1"/>
      <c r="L165" s="1"/>
    </row>
    <row r="166" ht="12.75" customHeight="1">
      <c r="C166" s="1"/>
      <c r="F166" s="1"/>
      <c r="G166" s="1"/>
      <c r="L166" s="1"/>
    </row>
    <row r="167" ht="12.75" customHeight="1">
      <c r="C167" s="1"/>
      <c r="F167" s="1"/>
      <c r="G167" s="1"/>
      <c r="L167" s="1"/>
    </row>
    <row r="168" ht="12.75" customHeight="1">
      <c r="C168" s="1"/>
      <c r="F168" s="1"/>
      <c r="G168" s="1"/>
      <c r="L168" s="1"/>
    </row>
    <row r="169" ht="12.75" customHeight="1">
      <c r="C169" s="1"/>
      <c r="F169" s="1"/>
      <c r="G169" s="1"/>
      <c r="L169" s="1"/>
    </row>
    <row r="170" ht="12.75" customHeight="1">
      <c r="C170" s="1"/>
      <c r="F170" s="1"/>
      <c r="G170" s="1"/>
      <c r="L170" s="1"/>
    </row>
    <row r="171" ht="12.75" customHeight="1">
      <c r="C171" s="1"/>
      <c r="F171" s="1"/>
      <c r="G171" s="1"/>
      <c r="L171" s="1"/>
    </row>
    <row r="172" ht="12.75" customHeight="1">
      <c r="C172" s="1"/>
      <c r="F172" s="1"/>
      <c r="G172" s="1"/>
      <c r="L172" s="1"/>
    </row>
    <row r="173" ht="12.75" customHeight="1">
      <c r="C173" s="1"/>
      <c r="F173" s="1"/>
      <c r="G173" s="1"/>
      <c r="L173" s="1"/>
    </row>
    <row r="174" ht="12.75" customHeight="1">
      <c r="C174" s="1"/>
      <c r="F174" s="1"/>
      <c r="G174" s="1"/>
      <c r="L174" s="1"/>
    </row>
    <row r="175" ht="12.75" customHeight="1">
      <c r="C175" s="1"/>
      <c r="F175" s="1"/>
      <c r="G175" s="1"/>
      <c r="L175" s="1"/>
    </row>
    <row r="176" ht="12.75" customHeight="1">
      <c r="C176" s="1"/>
      <c r="F176" s="1"/>
      <c r="G176" s="1"/>
      <c r="L176" s="1"/>
    </row>
    <row r="177" ht="12.75" customHeight="1">
      <c r="C177" s="1"/>
      <c r="F177" s="1"/>
      <c r="G177" s="1"/>
      <c r="L177" s="1"/>
    </row>
    <row r="178" ht="12.75" customHeight="1">
      <c r="C178" s="1"/>
      <c r="F178" s="1"/>
      <c r="G178" s="1"/>
      <c r="L178" s="1"/>
    </row>
    <row r="179" ht="12.75" customHeight="1">
      <c r="C179" s="1"/>
      <c r="F179" s="1"/>
      <c r="G179" s="1"/>
      <c r="L179" s="1"/>
    </row>
    <row r="180" ht="12.75" customHeight="1">
      <c r="C180" s="1"/>
      <c r="F180" s="1"/>
      <c r="G180" s="1"/>
      <c r="L180" s="1"/>
    </row>
    <row r="181" ht="12.75" customHeight="1">
      <c r="C181" s="1"/>
      <c r="F181" s="1"/>
      <c r="G181" s="1"/>
      <c r="L181" s="1"/>
    </row>
    <row r="182" ht="12.75" customHeight="1">
      <c r="C182" s="1"/>
      <c r="F182" s="1"/>
      <c r="G182" s="1"/>
      <c r="L182" s="1"/>
    </row>
    <row r="183" ht="12.75" customHeight="1">
      <c r="C183" s="1"/>
      <c r="F183" s="1"/>
      <c r="G183" s="1"/>
      <c r="L183" s="1"/>
    </row>
    <row r="184" ht="12.75" customHeight="1">
      <c r="C184" s="1"/>
      <c r="F184" s="1"/>
      <c r="G184" s="1"/>
      <c r="L184" s="1"/>
    </row>
    <row r="185" ht="12.75" customHeight="1">
      <c r="C185" s="1"/>
      <c r="F185" s="1"/>
      <c r="G185" s="1"/>
      <c r="L185" s="1"/>
    </row>
    <row r="186" ht="12.75" customHeight="1">
      <c r="C186" s="1"/>
      <c r="F186" s="1"/>
      <c r="G186" s="1"/>
      <c r="L186" s="1"/>
    </row>
    <row r="187" ht="12.75" customHeight="1">
      <c r="C187" s="1"/>
      <c r="F187" s="1"/>
      <c r="G187" s="1"/>
      <c r="L187" s="1"/>
    </row>
    <row r="188" ht="12.75" customHeight="1">
      <c r="C188" s="1"/>
      <c r="F188" s="1"/>
      <c r="G188" s="1"/>
      <c r="L188" s="1"/>
    </row>
    <row r="189" ht="12.75" customHeight="1">
      <c r="C189" s="1"/>
      <c r="F189" s="1"/>
      <c r="G189" s="1"/>
      <c r="L189" s="1"/>
    </row>
    <row r="190" ht="12.75" customHeight="1">
      <c r="C190" s="1"/>
      <c r="F190" s="1"/>
      <c r="G190" s="1"/>
      <c r="L190" s="1"/>
    </row>
    <row r="191" ht="12.75" customHeight="1">
      <c r="C191" s="1"/>
      <c r="F191" s="1"/>
      <c r="G191" s="1"/>
      <c r="L191" s="1"/>
    </row>
    <row r="192" ht="12.75" customHeight="1">
      <c r="C192" s="1"/>
      <c r="F192" s="1"/>
      <c r="G192" s="1"/>
      <c r="L192" s="1"/>
    </row>
    <row r="193" ht="12.75" customHeight="1">
      <c r="C193" s="1"/>
      <c r="F193" s="1"/>
      <c r="G193" s="1"/>
      <c r="L193" s="1"/>
    </row>
    <row r="194" ht="12.75" customHeight="1">
      <c r="C194" s="1"/>
      <c r="F194" s="1"/>
      <c r="G194" s="1"/>
      <c r="L194" s="1"/>
    </row>
    <row r="195" ht="12.75" customHeight="1">
      <c r="C195" s="1"/>
      <c r="F195" s="1"/>
      <c r="G195" s="1"/>
      <c r="L195" s="1"/>
    </row>
    <row r="196" ht="12.75" customHeight="1">
      <c r="C196" s="1"/>
      <c r="F196" s="1"/>
      <c r="G196" s="1"/>
      <c r="L196" s="1"/>
    </row>
    <row r="197" ht="12.75" customHeight="1">
      <c r="C197" s="1"/>
      <c r="F197" s="1"/>
      <c r="G197" s="1"/>
      <c r="L197" s="1"/>
    </row>
    <row r="198" ht="12.75" customHeight="1">
      <c r="C198" s="1"/>
      <c r="F198" s="1"/>
      <c r="G198" s="1"/>
      <c r="L198" s="1"/>
    </row>
    <row r="199" ht="12.75" customHeight="1">
      <c r="C199" s="1"/>
      <c r="F199" s="1"/>
      <c r="G199" s="1"/>
      <c r="L199" s="1"/>
    </row>
    <row r="200" ht="12.75" customHeight="1">
      <c r="C200" s="1"/>
      <c r="F200" s="1"/>
      <c r="G200" s="1"/>
      <c r="L200" s="1"/>
    </row>
    <row r="201" ht="12.75" customHeight="1">
      <c r="C201" s="1"/>
      <c r="F201" s="1"/>
      <c r="G201" s="1"/>
      <c r="L201" s="1"/>
    </row>
    <row r="202" ht="12.75" customHeight="1">
      <c r="C202" s="1"/>
      <c r="F202" s="1"/>
      <c r="G202" s="1"/>
      <c r="L202" s="1"/>
    </row>
    <row r="203" ht="12.75" customHeight="1">
      <c r="C203" s="1"/>
      <c r="F203" s="1"/>
      <c r="G203" s="1"/>
      <c r="L203" s="1"/>
    </row>
    <row r="204" ht="12.75" customHeight="1">
      <c r="C204" s="1"/>
      <c r="F204" s="1"/>
      <c r="G204" s="1"/>
      <c r="L204" s="1"/>
    </row>
    <row r="205" ht="12.75" customHeight="1">
      <c r="C205" s="1"/>
      <c r="F205" s="1"/>
      <c r="G205" s="1"/>
      <c r="L205" s="1"/>
    </row>
    <row r="206" ht="12.75" customHeight="1">
      <c r="C206" s="1"/>
      <c r="F206" s="1"/>
      <c r="G206" s="1"/>
      <c r="L206" s="1"/>
    </row>
    <row r="207" ht="12.75" customHeight="1">
      <c r="C207" s="1"/>
      <c r="F207" s="1"/>
      <c r="G207" s="1"/>
      <c r="L207" s="1"/>
    </row>
    <row r="208" ht="12.75" customHeight="1">
      <c r="C208" s="1"/>
      <c r="F208" s="1"/>
      <c r="G208" s="1"/>
      <c r="L208" s="1"/>
    </row>
    <row r="209" ht="12.75" customHeight="1">
      <c r="C209" s="1"/>
      <c r="F209" s="1"/>
      <c r="G209" s="1"/>
      <c r="L209" s="1"/>
    </row>
    <row r="210" ht="12.75" customHeight="1">
      <c r="C210" s="1"/>
      <c r="F210" s="1"/>
      <c r="G210" s="1"/>
      <c r="L210" s="1"/>
    </row>
    <row r="211" ht="12.75" customHeight="1">
      <c r="C211" s="1"/>
      <c r="F211" s="1"/>
      <c r="G211" s="1"/>
      <c r="L211" s="1"/>
    </row>
    <row r="212" ht="12.75" customHeight="1">
      <c r="C212" s="1"/>
      <c r="F212" s="1"/>
      <c r="G212" s="1"/>
      <c r="L212" s="1"/>
    </row>
    <row r="213" ht="12.75" customHeight="1">
      <c r="C213" s="1"/>
      <c r="F213" s="1"/>
      <c r="G213" s="1"/>
      <c r="L213" s="1"/>
    </row>
    <row r="214" ht="12.75" customHeight="1">
      <c r="C214" s="1"/>
      <c r="F214" s="1"/>
      <c r="G214" s="1"/>
      <c r="L214" s="1"/>
    </row>
    <row r="215" ht="12.75" customHeight="1">
      <c r="C215" s="1"/>
      <c r="F215" s="1"/>
      <c r="G215" s="1"/>
      <c r="L215" s="1"/>
    </row>
    <row r="216" ht="12.75" customHeight="1">
      <c r="C216" s="1"/>
      <c r="F216" s="1"/>
      <c r="G216" s="1"/>
      <c r="L216" s="1"/>
    </row>
    <row r="217" ht="12.75" customHeight="1">
      <c r="C217" s="1"/>
      <c r="F217" s="1"/>
      <c r="G217" s="1"/>
      <c r="L217" s="1"/>
    </row>
    <row r="218" ht="12.75" customHeight="1">
      <c r="C218" s="1"/>
      <c r="F218" s="1"/>
      <c r="G218" s="1"/>
      <c r="L218" s="1"/>
    </row>
    <row r="219" ht="12.75" customHeight="1">
      <c r="C219" s="1"/>
      <c r="F219" s="1"/>
      <c r="G219" s="1"/>
      <c r="L219" s="1"/>
    </row>
    <row r="220" ht="12.75" customHeight="1">
      <c r="C220" s="1"/>
      <c r="F220" s="1"/>
      <c r="G220" s="1"/>
      <c r="L220" s="1"/>
    </row>
    <row r="221" ht="12.75" customHeight="1">
      <c r="C221" s="1"/>
      <c r="F221" s="1"/>
      <c r="G221" s="1"/>
      <c r="L221" s="1"/>
    </row>
    <row r="222" ht="12.75" customHeight="1">
      <c r="C222" s="1"/>
      <c r="F222" s="1"/>
      <c r="G222" s="1"/>
      <c r="L222" s="1"/>
    </row>
    <row r="223" ht="12.75" customHeight="1">
      <c r="C223" s="1"/>
      <c r="F223" s="1"/>
      <c r="G223" s="1"/>
      <c r="L223" s="1"/>
    </row>
    <row r="224" ht="12.75" customHeight="1">
      <c r="C224" s="1"/>
      <c r="F224" s="1"/>
      <c r="G224" s="1"/>
      <c r="L224" s="1"/>
    </row>
    <row r="225" ht="12.75" customHeight="1">
      <c r="C225" s="1"/>
      <c r="F225" s="1"/>
      <c r="G225" s="1"/>
      <c r="L225" s="1"/>
    </row>
    <row r="226" ht="12.75" customHeight="1">
      <c r="C226" s="1"/>
      <c r="F226" s="1"/>
      <c r="G226" s="1"/>
      <c r="L226" s="1"/>
    </row>
    <row r="227" ht="12.75" customHeight="1">
      <c r="C227" s="1"/>
      <c r="F227" s="1"/>
      <c r="G227" s="1"/>
      <c r="L227" s="1"/>
    </row>
    <row r="228" ht="12.75" customHeight="1">
      <c r="C228" s="1"/>
      <c r="F228" s="1"/>
      <c r="G228" s="1"/>
      <c r="L228" s="1"/>
    </row>
    <row r="229" ht="12.75" customHeight="1">
      <c r="C229" s="1"/>
      <c r="F229" s="1"/>
      <c r="G229" s="1"/>
      <c r="L229" s="1"/>
    </row>
    <row r="230" ht="12.75" customHeight="1">
      <c r="C230" s="1"/>
      <c r="F230" s="1"/>
      <c r="G230" s="1"/>
      <c r="L230" s="1"/>
    </row>
    <row r="231" ht="12.75" customHeight="1">
      <c r="C231" s="1"/>
      <c r="F231" s="1"/>
      <c r="G231" s="1"/>
      <c r="L231" s="1"/>
    </row>
    <row r="232" ht="12.75" customHeight="1">
      <c r="C232" s="1"/>
      <c r="F232" s="1"/>
      <c r="G232" s="1"/>
      <c r="L232" s="1"/>
    </row>
    <row r="233" ht="12.75" customHeight="1">
      <c r="C233" s="1"/>
      <c r="F233" s="1"/>
      <c r="G233" s="1"/>
      <c r="L233" s="1"/>
    </row>
    <row r="234" ht="12.75" customHeight="1">
      <c r="C234" s="1"/>
      <c r="F234" s="1"/>
      <c r="G234" s="1"/>
      <c r="L234" s="1"/>
    </row>
    <row r="235" ht="12.75" customHeight="1">
      <c r="C235" s="1"/>
      <c r="F235" s="1"/>
      <c r="G235" s="1"/>
      <c r="L235" s="1"/>
    </row>
    <row r="236" ht="12.75" customHeight="1">
      <c r="C236" s="1"/>
      <c r="F236" s="1"/>
      <c r="G236" s="1"/>
      <c r="L236" s="1"/>
    </row>
    <row r="237" ht="12.75" customHeight="1">
      <c r="C237" s="1"/>
      <c r="F237" s="1"/>
      <c r="G237" s="1"/>
      <c r="L237" s="1"/>
    </row>
    <row r="238" ht="12.75" customHeight="1">
      <c r="C238" s="1"/>
      <c r="F238" s="1"/>
      <c r="G238" s="1"/>
      <c r="L238" s="1"/>
    </row>
    <row r="239" ht="12.75" customHeight="1">
      <c r="C239" s="1"/>
      <c r="F239" s="1"/>
      <c r="G239" s="1"/>
      <c r="L239" s="1"/>
    </row>
    <row r="240" ht="12.75" customHeight="1">
      <c r="C240" s="1"/>
      <c r="F240" s="1"/>
      <c r="G240" s="1"/>
      <c r="L240" s="1"/>
    </row>
    <row r="241" ht="12.75" customHeight="1">
      <c r="C241" s="1"/>
      <c r="F241" s="1"/>
      <c r="G241" s="1"/>
      <c r="L241" s="1"/>
    </row>
    <row r="242" ht="12.75" customHeight="1">
      <c r="C242" s="1"/>
      <c r="F242" s="1"/>
      <c r="G242" s="1"/>
      <c r="L242" s="1"/>
    </row>
    <row r="243" ht="12.75" customHeight="1">
      <c r="C243" s="1"/>
      <c r="F243" s="1"/>
      <c r="G243" s="1"/>
      <c r="L243" s="1"/>
    </row>
    <row r="244" ht="12.75" customHeight="1">
      <c r="C244" s="1"/>
      <c r="F244" s="1"/>
      <c r="G244" s="1"/>
      <c r="L244" s="1"/>
    </row>
    <row r="245" ht="12.75" customHeight="1">
      <c r="C245" s="1"/>
      <c r="F245" s="1"/>
      <c r="G245" s="1"/>
      <c r="L245" s="1"/>
    </row>
    <row r="246" ht="12.75" customHeight="1">
      <c r="C246" s="1"/>
      <c r="F246" s="1"/>
      <c r="G246" s="1"/>
      <c r="L246" s="1"/>
    </row>
    <row r="247" ht="12.75" customHeight="1">
      <c r="C247" s="1"/>
      <c r="F247" s="1"/>
      <c r="G247" s="1"/>
      <c r="L247" s="1"/>
    </row>
    <row r="248" ht="12.75" customHeight="1">
      <c r="C248" s="1"/>
      <c r="F248" s="1"/>
      <c r="G248" s="1"/>
      <c r="L248" s="1"/>
    </row>
    <row r="249" ht="12.75" customHeight="1">
      <c r="C249" s="1"/>
      <c r="F249" s="1"/>
      <c r="G249" s="1"/>
      <c r="L249" s="1"/>
    </row>
    <row r="250" ht="12.75" customHeight="1">
      <c r="C250" s="1"/>
      <c r="F250" s="1"/>
      <c r="G250" s="1"/>
      <c r="L250" s="1"/>
    </row>
    <row r="251" ht="12.75" customHeight="1">
      <c r="C251" s="1"/>
      <c r="F251" s="1"/>
      <c r="G251" s="1"/>
      <c r="L251" s="1"/>
    </row>
    <row r="252" ht="12.75" customHeight="1">
      <c r="C252" s="1"/>
      <c r="F252" s="1"/>
      <c r="G252" s="1"/>
      <c r="L252" s="1"/>
    </row>
    <row r="253" ht="12.75" customHeight="1">
      <c r="C253" s="1"/>
      <c r="F253" s="1"/>
      <c r="G253" s="1"/>
      <c r="L253" s="1"/>
    </row>
    <row r="254" ht="12.75" customHeight="1">
      <c r="C254" s="1"/>
      <c r="F254" s="1"/>
      <c r="G254" s="1"/>
      <c r="L254" s="1"/>
    </row>
    <row r="255" ht="12.75" customHeight="1">
      <c r="C255" s="1"/>
      <c r="F255" s="1"/>
      <c r="G255" s="1"/>
      <c r="L255" s="1"/>
    </row>
    <row r="256" ht="12.75" customHeight="1">
      <c r="C256" s="1"/>
      <c r="F256" s="1"/>
      <c r="G256" s="1"/>
      <c r="L256" s="1"/>
    </row>
    <row r="257" ht="12.75" customHeight="1">
      <c r="C257" s="1"/>
      <c r="F257" s="1"/>
      <c r="G257" s="1"/>
      <c r="L257" s="1"/>
    </row>
    <row r="258" ht="12.75" customHeight="1">
      <c r="C258" s="1"/>
      <c r="F258" s="1"/>
      <c r="G258" s="1"/>
      <c r="L258" s="1"/>
    </row>
    <row r="259" ht="12.75" customHeight="1">
      <c r="C259" s="1"/>
      <c r="F259" s="1"/>
      <c r="G259" s="1"/>
      <c r="L259" s="1"/>
    </row>
    <row r="260" ht="12.75" customHeight="1">
      <c r="C260" s="1"/>
      <c r="F260" s="1"/>
      <c r="G260" s="1"/>
      <c r="L260" s="1"/>
    </row>
    <row r="261" ht="12.75" customHeight="1">
      <c r="C261" s="1"/>
      <c r="F261" s="1"/>
      <c r="G261" s="1"/>
      <c r="L261" s="1"/>
    </row>
    <row r="262" ht="12.75" customHeight="1">
      <c r="C262" s="1"/>
      <c r="F262" s="1"/>
      <c r="G262" s="1"/>
      <c r="L262" s="1"/>
    </row>
    <row r="263" ht="12.75" customHeight="1">
      <c r="C263" s="1"/>
      <c r="F263" s="1"/>
      <c r="G263" s="1"/>
      <c r="L263" s="1"/>
    </row>
    <row r="264" ht="12.75" customHeight="1">
      <c r="C264" s="1"/>
      <c r="F264" s="1"/>
      <c r="G264" s="1"/>
      <c r="L264" s="1"/>
    </row>
    <row r="265" ht="12.75" customHeight="1">
      <c r="C265" s="1"/>
      <c r="F265" s="1"/>
      <c r="G265" s="1"/>
      <c r="L265" s="1"/>
    </row>
    <row r="266" ht="12.75" customHeight="1">
      <c r="C266" s="1"/>
      <c r="F266" s="1"/>
      <c r="G266" s="1"/>
      <c r="L266" s="1"/>
    </row>
    <row r="267" ht="12.75" customHeight="1">
      <c r="C267" s="1"/>
      <c r="F267" s="1"/>
      <c r="G267" s="1"/>
      <c r="L267" s="1"/>
    </row>
    <row r="268" ht="12.75" customHeight="1">
      <c r="C268" s="1"/>
      <c r="F268" s="1"/>
      <c r="G268" s="1"/>
      <c r="L268" s="1"/>
    </row>
    <row r="269" ht="12.75" customHeight="1">
      <c r="C269" s="1"/>
      <c r="F269" s="1"/>
      <c r="G269" s="1"/>
      <c r="L269" s="1"/>
    </row>
    <row r="270" ht="12.75" customHeight="1">
      <c r="C270" s="1"/>
      <c r="F270" s="1"/>
      <c r="G270" s="1"/>
      <c r="L270" s="1"/>
    </row>
    <row r="271" ht="12.75" customHeight="1">
      <c r="C271" s="1"/>
      <c r="F271" s="1"/>
      <c r="G271" s="1"/>
      <c r="L271" s="1"/>
    </row>
    <row r="272" ht="12.75" customHeight="1">
      <c r="C272" s="1"/>
      <c r="F272" s="1"/>
      <c r="G272" s="1"/>
      <c r="L272" s="1"/>
    </row>
    <row r="273" ht="12.75" customHeight="1">
      <c r="C273" s="1"/>
      <c r="F273" s="1"/>
      <c r="G273" s="1"/>
      <c r="L273" s="1"/>
    </row>
    <row r="274" ht="12.75" customHeight="1">
      <c r="C274" s="1"/>
      <c r="F274" s="1"/>
      <c r="G274" s="1"/>
      <c r="L274" s="1"/>
    </row>
    <row r="275" ht="12.75" customHeight="1">
      <c r="C275" s="1"/>
      <c r="F275" s="1"/>
      <c r="G275" s="1"/>
      <c r="L275" s="1"/>
    </row>
    <row r="276" ht="12.75" customHeight="1">
      <c r="C276" s="1"/>
      <c r="F276" s="1"/>
      <c r="G276" s="1"/>
      <c r="L276" s="1"/>
    </row>
    <row r="277" ht="12.75" customHeight="1">
      <c r="C277" s="1"/>
      <c r="F277" s="1"/>
      <c r="G277" s="1"/>
      <c r="L277" s="1"/>
    </row>
    <row r="278" ht="12.75" customHeight="1">
      <c r="C278" s="1"/>
      <c r="F278" s="1"/>
      <c r="G278" s="1"/>
      <c r="L278" s="1"/>
    </row>
    <row r="279" ht="12.75" customHeight="1">
      <c r="C279" s="1"/>
      <c r="F279" s="1"/>
      <c r="G279" s="1"/>
      <c r="L279" s="1"/>
    </row>
    <row r="280" ht="12.75" customHeight="1">
      <c r="C280" s="1"/>
      <c r="F280" s="1"/>
      <c r="G280" s="1"/>
      <c r="L280" s="1"/>
    </row>
    <row r="281" ht="12.75" customHeight="1">
      <c r="C281" s="1"/>
      <c r="F281" s="1"/>
      <c r="G281" s="1"/>
      <c r="L281" s="1"/>
    </row>
    <row r="282" ht="12.75" customHeight="1">
      <c r="C282" s="1"/>
      <c r="F282" s="1"/>
      <c r="G282" s="1"/>
      <c r="L282" s="1"/>
    </row>
    <row r="283" ht="12.75" customHeight="1">
      <c r="C283" s="1"/>
      <c r="F283" s="1"/>
      <c r="G283" s="1"/>
      <c r="L283" s="1"/>
    </row>
    <row r="284" ht="12.75" customHeight="1">
      <c r="C284" s="1"/>
      <c r="F284" s="1"/>
      <c r="G284" s="1"/>
      <c r="L284" s="1"/>
    </row>
    <row r="285" ht="12.75" customHeight="1">
      <c r="C285" s="1"/>
      <c r="F285" s="1"/>
      <c r="G285" s="1"/>
      <c r="L285" s="1"/>
    </row>
    <row r="286" ht="12.75" customHeight="1">
      <c r="C286" s="1"/>
      <c r="F286" s="1"/>
      <c r="G286" s="1"/>
      <c r="L286" s="1"/>
    </row>
    <row r="287" ht="12.75" customHeight="1">
      <c r="C287" s="1"/>
      <c r="F287" s="1"/>
      <c r="G287" s="1"/>
      <c r="L287" s="1"/>
    </row>
    <row r="288" ht="12.75" customHeight="1">
      <c r="C288" s="1"/>
      <c r="F288" s="1"/>
      <c r="G288" s="1"/>
      <c r="L288" s="1"/>
    </row>
    <row r="289" ht="12.75" customHeight="1">
      <c r="C289" s="1"/>
      <c r="F289" s="1"/>
      <c r="G289" s="1"/>
      <c r="L289" s="1"/>
    </row>
    <row r="290" ht="12.75" customHeight="1">
      <c r="C290" s="1"/>
      <c r="F290" s="1"/>
      <c r="G290" s="1"/>
      <c r="L290" s="1"/>
    </row>
    <row r="291" ht="12.75" customHeight="1">
      <c r="C291" s="1"/>
      <c r="F291" s="1"/>
      <c r="G291" s="1"/>
      <c r="L291" s="1"/>
    </row>
    <row r="292" ht="12.75" customHeight="1">
      <c r="C292" s="1"/>
      <c r="F292" s="1"/>
      <c r="G292" s="1"/>
      <c r="L292" s="1"/>
    </row>
    <row r="293" ht="12.75" customHeight="1">
      <c r="C293" s="1"/>
      <c r="F293" s="1"/>
      <c r="G293" s="1"/>
      <c r="L293" s="1"/>
    </row>
    <row r="294" ht="12.75" customHeight="1">
      <c r="C294" s="1"/>
      <c r="F294" s="1"/>
      <c r="G294" s="1"/>
      <c r="L294" s="1"/>
    </row>
    <row r="295" ht="12.75" customHeight="1">
      <c r="C295" s="1"/>
      <c r="F295" s="1"/>
      <c r="G295" s="1"/>
      <c r="L295" s="1"/>
    </row>
    <row r="296" ht="12.75" customHeight="1">
      <c r="C296" s="1"/>
      <c r="F296" s="1"/>
      <c r="G296" s="1"/>
      <c r="L296" s="1"/>
    </row>
    <row r="297" ht="12.75" customHeight="1">
      <c r="C297" s="1"/>
      <c r="F297" s="1"/>
      <c r="G297" s="1"/>
      <c r="L297" s="1"/>
    </row>
    <row r="298" ht="12.75" customHeight="1">
      <c r="C298" s="1"/>
      <c r="F298" s="1"/>
      <c r="G298" s="1"/>
      <c r="L298" s="1"/>
    </row>
    <row r="299" ht="12.75" customHeight="1">
      <c r="C299" s="1"/>
      <c r="F299" s="1"/>
      <c r="G299" s="1"/>
      <c r="L299" s="1"/>
    </row>
    <row r="300" ht="12.75" customHeight="1">
      <c r="C300" s="1"/>
      <c r="F300" s="1"/>
      <c r="G300" s="1"/>
      <c r="L300" s="1"/>
    </row>
    <row r="301" ht="12.75" customHeight="1">
      <c r="C301" s="1"/>
      <c r="F301" s="1"/>
      <c r="G301" s="1"/>
      <c r="L301" s="1"/>
    </row>
    <row r="302" ht="12.75" customHeight="1">
      <c r="C302" s="1"/>
      <c r="F302" s="1"/>
      <c r="G302" s="1"/>
      <c r="L302" s="1"/>
    </row>
    <row r="303" ht="12.75" customHeight="1">
      <c r="C303" s="1"/>
      <c r="F303" s="1"/>
      <c r="G303" s="1"/>
      <c r="L303" s="1"/>
    </row>
    <row r="304" ht="12.75" customHeight="1">
      <c r="C304" s="1"/>
      <c r="F304" s="1"/>
      <c r="G304" s="1"/>
      <c r="L304" s="1"/>
    </row>
    <row r="305" ht="12.75" customHeight="1">
      <c r="C305" s="1"/>
      <c r="F305" s="1"/>
      <c r="G305" s="1"/>
      <c r="L305" s="1"/>
    </row>
    <row r="306" ht="12.75" customHeight="1">
      <c r="C306" s="1"/>
      <c r="F306" s="1"/>
      <c r="G306" s="1"/>
      <c r="L306" s="1"/>
    </row>
    <row r="307" ht="12.75" customHeight="1">
      <c r="C307" s="1"/>
      <c r="F307" s="1"/>
      <c r="G307" s="1"/>
      <c r="L307" s="1"/>
    </row>
    <row r="308" ht="12.75" customHeight="1">
      <c r="C308" s="1"/>
      <c r="F308" s="1"/>
      <c r="G308" s="1"/>
      <c r="L308" s="1"/>
    </row>
    <row r="309" ht="12.75" customHeight="1">
      <c r="C309" s="1"/>
      <c r="F309" s="1"/>
      <c r="G309" s="1"/>
      <c r="L309" s="1"/>
    </row>
    <row r="310" ht="12.75" customHeight="1">
      <c r="C310" s="1"/>
      <c r="F310" s="1"/>
      <c r="G310" s="1"/>
      <c r="L310" s="1"/>
    </row>
    <row r="311" ht="12.75" customHeight="1">
      <c r="C311" s="1"/>
      <c r="F311" s="1"/>
      <c r="G311" s="1"/>
      <c r="L311" s="1"/>
    </row>
    <row r="312" ht="12.75" customHeight="1">
      <c r="C312" s="1"/>
      <c r="F312" s="1"/>
      <c r="G312" s="1"/>
      <c r="L312" s="1"/>
    </row>
    <row r="313" ht="12.75" customHeight="1">
      <c r="C313" s="1"/>
      <c r="F313" s="1"/>
      <c r="G313" s="1"/>
      <c r="L313" s="1"/>
    </row>
    <row r="314" ht="12.75" customHeight="1">
      <c r="C314" s="1"/>
      <c r="F314" s="1"/>
      <c r="G314" s="1"/>
      <c r="L314" s="1"/>
    </row>
    <row r="315" ht="12.75" customHeight="1">
      <c r="C315" s="1"/>
      <c r="F315" s="1"/>
      <c r="G315" s="1"/>
      <c r="L315" s="1"/>
    </row>
    <row r="316" ht="12.75" customHeight="1">
      <c r="C316" s="1"/>
      <c r="F316" s="1"/>
      <c r="G316" s="1"/>
      <c r="L316" s="1"/>
    </row>
    <row r="317" ht="12.75" customHeight="1">
      <c r="C317" s="1"/>
      <c r="F317" s="1"/>
      <c r="G317" s="1"/>
      <c r="L317" s="1"/>
    </row>
    <row r="318" ht="12.75" customHeight="1">
      <c r="C318" s="1"/>
      <c r="F318" s="1"/>
      <c r="G318" s="1"/>
      <c r="L318" s="1"/>
    </row>
    <row r="319" ht="12.75" customHeight="1">
      <c r="C319" s="1"/>
      <c r="F319" s="1"/>
      <c r="G319" s="1"/>
      <c r="L319" s="1"/>
    </row>
    <row r="320" ht="12.75" customHeight="1">
      <c r="C320" s="1"/>
      <c r="F320" s="1"/>
      <c r="G320" s="1"/>
      <c r="L320" s="1"/>
    </row>
    <row r="321" ht="12.75" customHeight="1">
      <c r="C321" s="1"/>
      <c r="F321" s="1"/>
      <c r="G321" s="1"/>
      <c r="L321" s="1"/>
    </row>
    <row r="322" ht="12.75" customHeight="1">
      <c r="C322" s="1"/>
      <c r="F322" s="1"/>
      <c r="G322" s="1"/>
      <c r="L322" s="1"/>
    </row>
    <row r="323" ht="12.75" customHeight="1">
      <c r="C323" s="1"/>
      <c r="F323" s="1"/>
      <c r="G323" s="1"/>
      <c r="L323" s="1"/>
    </row>
    <row r="324" ht="12.75" customHeight="1">
      <c r="C324" s="1"/>
      <c r="F324" s="1"/>
      <c r="G324" s="1"/>
      <c r="L324" s="1"/>
    </row>
    <row r="325" ht="12.75" customHeight="1">
      <c r="C325" s="1"/>
      <c r="F325" s="1"/>
      <c r="G325" s="1"/>
      <c r="L325" s="1"/>
    </row>
    <row r="326" ht="12.75" customHeight="1">
      <c r="C326" s="1"/>
      <c r="F326" s="1"/>
      <c r="G326" s="1"/>
      <c r="L326" s="1"/>
    </row>
    <row r="327" ht="12.75" customHeight="1">
      <c r="C327" s="1"/>
      <c r="F327" s="1"/>
      <c r="G327" s="1"/>
      <c r="L327" s="1"/>
    </row>
    <row r="328" ht="12.75" customHeight="1">
      <c r="C328" s="1"/>
      <c r="F328" s="1"/>
      <c r="G328" s="1"/>
      <c r="L328" s="1"/>
    </row>
    <row r="329" ht="12.75" customHeight="1">
      <c r="C329" s="1"/>
      <c r="F329" s="1"/>
      <c r="G329" s="1"/>
      <c r="L329" s="1"/>
    </row>
    <row r="330" ht="12.75" customHeight="1">
      <c r="C330" s="1"/>
      <c r="F330" s="1"/>
      <c r="G330" s="1"/>
      <c r="L330" s="1"/>
    </row>
    <row r="331" ht="12.75" customHeight="1">
      <c r="C331" s="1"/>
      <c r="F331" s="1"/>
      <c r="G331" s="1"/>
      <c r="L331" s="1"/>
    </row>
    <row r="332" ht="12.75" customHeight="1">
      <c r="C332" s="1"/>
      <c r="F332" s="1"/>
      <c r="G332" s="1"/>
      <c r="L332" s="1"/>
    </row>
    <row r="333" ht="12.75" customHeight="1">
      <c r="C333" s="1"/>
      <c r="F333" s="1"/>
      <c r="G333" s="1"/>
      <c r="L333" s="1"/>
    </row>
    <row r="334" ht="12.75" customHeight="1">
      <c r="C334" s="1"/>
      <c r="F334" s="1"/>
      <c r="G334" s="1"/>
      <c r="L334" s="1"/>
    </row>
    <row r="335" ht="12.75" customHeight="1">
      <c r="C335" s="1"/>
      <c r="F335" s="1"/>
      <c r="G335" s="1"/>
      <c r="L335" s="1"/>
    </row>
    <row r="336" ht="12.75" customHeight="1">
      <c r="C336" s="1"/>
      <c r="F336" s="1"/>
      <c r="G336" s="1"/>
      <c r="L336" s="1"/>
    </row>
    <row r="337" ht="12.75" customHeight="1">
      <c r="C337" s="1"/>
      <c r="F337" s="1"/>
      <c r="G337" s="1"/>
      <c r="L337" s="1"/>
    </row>
    <row r="338" ht="12.75" customHeight="1">
      <c r="C338" s="1"/>
      <c r="F338" s="1"/>
      <c r="G338" s="1"/>
      <c r="L338" s="1"/>
    </row>
    <row r="339" ht="12.75" customHeight="1">
      <c r="C339" s="1"/>
      <c r="F339" s="1"/>
      <c r="G339" s="1"/>
      <c r="L339" s="1"/>
    </row>
    <row r="340" ht="12.75" customHeight="1">
      <c r="C340" s="1"/>
      <c r="F340" s="1"/>
      <c r="G340" s="1"/>
      <c r="L340" s="1"/>
    </row>
    <row r="341" ht="12.75" customHeight="1">
      <c r="C341" s="1"/>
      <c r="F341" s="1"/>
      <c r="G341" s="1"/>
      <c r="L341" s="1"/>
    </row>
    <row r="342" ht="12.75" customHeight="1">
      <c r="C342" s="1"/>
      <c r="F342" s="1"/>
      <c r="G342" s="1"/>
      <c r="L342" s="1"/>
    </row>
    <row r="343" ht="12.75" customHeight="1">
      <c r="C343" s="1"/>
      <c r="F343" s="1"/>
      <c r="G343" s="1"/>
      <c r="L343" s="1"/>
    </row>
    <row r="344" ht="12.75" customHeight="1">
      <c r="C344" s="1"/>
      <c r="F344" s="1"/>
      <c r="G344" s="1"/>
      <c r="L344" s="1"/>
    </row>
    <row r="345" ht="12.75" customHeight="1">
      <c r="C345" s="1"/>
      <c r="F345" s="1"/>
      <c r="G345" s="1"/>
      <c r="L345" s="1"/>
    </row>
    <row r="346" ht="12.75" customHeight="1">
      <c r="C346" s="1"/>
      <c r="F346" s="1"/>
      <c r="G346" s="1"/>
      <c r="L346" s="1"/>
    </row>
    <row r="347" ht="12.75" customHeight="1">
      <c r="C347" s="1"/>
      <c r="F347" s="1"/>
      <c r="G347" s="1"/>
      <c r="L347" s="1"/>
    </row>
    <row r="348" ht="12.75" customHeight="1">
      <c r="C348" s="1"/>
      <c r="F348" s="1"/>
      <c r="G348" s="1"/>
      <c r="L348" s="1"/>
    </row>
    <row r="349" ht="12.75" customHeight="1">
      <c r="C349" s="1"/>
      <c r="F349" s="1"/>
      <c r="G349" s="1"/>
      <c r="L349" s="1"/>
    </row>
    <row r="350" ht="12.75" customHeight="1">
      <c r="C350" s="1"/>
      <c r="F350" s="1"/>
      <c r="G350" s="1"/>
      <c r="L350" s="1"/>
    </row>
    <row r="351" ht="12.75" customHeight="1">
      <c r="C351" s="1"/>
      <c r="F351" s="1"/>
      <c r="G351" s="1"/>
      <c r="L351" s="1"/>
    </row>
    <row r="352" ht="12.75" customHeight="1">
      <c r="C352" s="1"/>
      <c r="F352" s="1"/>
      <c r="G352" s="1"/>
      <c r="L352" s="1"/>
    </row>
    <row r="353" ht="12.75" customHeight="1">
      <c r="C353" s="1"/>
      <c r="F353" s="1"/>
      <c r="G353" s="1"/>
      <c r="L353" s="1"/>
    </row>
    <row r="354" ht="12.75" customHeight="1">
      <c r="C354" s="1"/>
      <c r="F354" s="1"/>
      <c r="G354" s="1"/>
      <c r="L354" s="1"/>
    </row>
    <row r="355" ht="12.75" customHeight="1">
      <c r="C355" s="1"/>
      <c r="F355" s="1"/>
      <c r="G355" s="1"/>
      <c r="L355" s="1"/>
    </row>
    <row r="356" ht="12.75" customHeight="1">
      <c r="C356" s="1"/>
      <c r="F356" s="1"/>
      <c r="G356" s="1"/>
      <c r="L356" s="1"/>
    </row>
    <row r="357" ht="12.75" customHeight="1">
      <c r="C357" s="1"/>
      <c r="F357" s="1"/>
      <c r="G357" s="1"/>
      <c r="L357" s="1"/>
    </row>
    <row r="358" ht="12.75" customHeight="1">
      <c r="C358" s="1"/>
      <c r="F358" s="1"/>
      <c r="G358" s="1"/>
      <c r="L358" s="1"/>
    </row>
    <row r="359" ht="12.75" customHeight="1">
      <c r="C359" s="1"/>
      <c r="F359" s="1"/>
      <c r="G359" s="1"/>
      <c r="L359" s="1"/>
    </row>
    <row r="360" ht="12.75" customHeight="1">
      <c r="C360" s="1"/>
      <c r="F360" s="1"/>
      <c r="G360" s="1"/>
      <c r="L360" s="1"/>
    </row>
    <row r="361" ht="12.75" customHeight="1">
      <c r="C361" s="1"/>
      <c r="F361" s="1"/>
      <c r="G361" s="1"/>
      <c r="L361" s="1"/>
    </row>
    <row r="362" ht="12.75" customHeight="1">
      <c r="C362" s="1"/>
      <c r="F362" s="1"/>
      <c r="G362" s="1"/>
      <c r="L362" s="1"/>
    </row>
    <row r="363" ht="12.75" customHeight="1">
      <c r="C363" s="1"/>
      <c r="F363" s="1"/>
      <c r="G363" s="1"/>
      <c r="L363" s="1"/>
    </row>
    <row r="364" ht="12.75" customHeight="1">
      <c r="C364" s="1"/>
      <c r="F364" s="1"/>
      <c r="G364" s="1"/>
      <c r="L364" s="1"/>
    </row>
    <row r="365" ht="12.75" customHeight="1">
      <c r="C365" s="1"/>
      <c r="F365" s="1"/>
      <c r="G365" s="1"/>
      <c r="L365" s="1"/>
    </row>
    <row r="366" ht="12.75" customHeight="1">
      <c r="C366" s="1"/>
      <c r="F366" s="1"/>
      <c r="G366" s="1"/>
      <c r="L366" s="1"/>
    </row>
    <row r="367" ht="12.75" customHeight="1">
      <c r="C367" s="1"/>
      <c r="F367" s="1"/>
      <c r="G367" s="1"/>
      <c r="L367" s="1"/>
    </row>
    <row r="368" ht="12.75" customHeight="1">
      <c r="C368" s="1"/>
      <c r="F368" s="1"/>
      <c r="G368" s="1"/>
      <c r="L368" s="1"/>
    </row>
    <row r="369" ht="12.75" customHeight="1">
      <c r="C369" s="1"/>
      <c r="F369" s="1"/>
      <c r="G369" s="1"/>
      <c r="L369" s="1"/>
    </row>
    <row r="370" ht="12.75" customHeight="1">
      <c r="C370" s="1"/>
      <c r="F370" s="1"/>
      <c r="G370" s="1"/>
      <c r="L370" s="1"/>
    </row>
    <row r="371" ht="12.75" customHeight="1">
      <c r="C371" s="1"/>
      <c r="F371" s="1"/>
      <c r="G371" s="1"/>
      <c r="L371" s="1"/>
    </row>
    <row r="372" ht="12.75" customHeight="1">
      <c r="C372" s="1"/>
      <c r="F372" s="1"/>
      <c r="G372" s="1"/>
      <c r="L372" s="1"/>
    </row>
    <row r="373" ht="12.75" customHeight="1">
      <c r="C373" s="1"/>
      <c r="F373" s="1"/>
      <c r="G373" s="1"/>
      <c r="L373" s="1"/>
    </row>
    <row r="374" ht="12.75" customHeight="1">
      <c r="C374" s="1"/>
      <c r="F374" s="1"/>
      <c r="G374" s="1"/>
      <c r="L374" s="1"/>
    </row>
    <row r="375" ht="12.75" customHeight="1">
      <c r="C375" s="1"/>
      <c r="F375" s="1"/>
      <c r="G375" s="1"/>
      <c r="L375" s="1"/>
    </row>
    <row r="376" ht="12.75" customHeight="1">
      <c r="C376" s="1"/>
      <c r="F376" s="1"/>
      <c r="G376" s="1"/>
      <c r="L376" s="1"/>
    </row>
    <row r="377" ht="12.75" customHeight="1">
      <c r="C377" s="1"/>
      <c r="F377" s="1"/>
      <c r="G377" s="1"/>
      <c r="L377" s="1"/>
    </row>
    <row r="378" ht="12.75" customHeight="1">
      <c r="C378" s="1"/>
      <c r="F378" s="1"/>
      <c r="G378" s="1"/>
      <c r="L378" s="1"/>
    </row>
    <row r="379" ht="12.75" customHeight="1">
      <c r="C379" s="1"/>
      <c r="F379" s="1"/>
      <c r="G379" s="1"/>
      <c r="L379" s="1"/>
    </row>
    <row r="380" ht="12.75" customHeight="1">
      <c r="C380" s="1"/>
      <c r="F380" s="1"/>
      <c r="G380" s="1"/>
      <c r="L380" s="1"/>
    </row>
    <row r="381" ht="12.75" customHeight="1">
      <c r="C381" s="1"/>
      <c r="F381" s="1"/>
      <c r="G381" s="1"/>
      <c r="L381" s="1"/>
    </row>
    <row r="382" ht="12.75" customHeight="1">
      <c r="C382" s="1"/>
      <c r="F382" s="1"/>
      <c r="G382" s="1"/>
      <c r="L382" s="1"/>
    </row>
    <row r="383" ht="12.75" customHeight="1">
      <c r="C383" s="1"/>
      <c r="F383" s="1"/>
      <c r="G383" s="1"/>
      <c r="L383" s="1"/>
    </row>
    <row r="384" ht="12.75" customHeight="1">
      <c r="C384" s="1"/>
      <c r="F384" s="1"/>
      <c r="G384" s="1"/>
      <c r="L384" s="1"/>
    </row>
    <row r="385" ht="12.75" customHeight="1">
      <c r="C385" s="1"/>
      <c r="F385" s="1"/>
      <c r="G385" s="1"/>
      <c r="L385" s="1"/>
    </row>
    <row r="386" ht="12.75" customHeight="1">
      <c r="C386" s="1"/>
      <c r="F386" s="1"/>
      <c r="G386" s="1"/>
      <c r="L386" s="1"/>
    </row>
    <row r="387" ht="12.75" customHeight="1">
      <c r="C387" s="1"/>
      <c r="F387" s="1"/>
      <c r="G387" s="1"/>
      <c r="L387" s="1"/>
    </row>
    <row r="388" ht="12.75" customHeight="1">
      <c r="C388" s="1"/>
      <c r="F388" s="1"/>
      <c r="G388" s="1"/>
      <c r="L388" s="1"/>
    </row>
    <row r="389" ht="12.75" customHeight="1">
      <c r="C389" s="1"/>
      <c r="F389" s="1"/>
      <c r="G389" s="1"/>
      <c r="L389" s="1"/>
    </row>
    <row r="390" ht="12.75" customHeight="1">
      <c r="C390" s="1"/>
      <c r="F390" s="1"/>
      <c r="G390" s="1"/>
      <c r="L390" s="1"/>
    </row>
    <row r="391" ht="12.75" customHeight="1">
      <c r="C391" s="1"/>
      <c r="F391" s="1"/>
      <c r="G391" s="1"/>
      <c r="L391" s="1"/>
    </row>
    <row r="392" ht="12.75" customHeight="1">
      <c r="C392" s="1"/>
      <c r="F392" s="1"/>
      <c r="G392" s="1"/>
      <c r="L392" s="1"/>
    </row>
    <row r="393" ht="12.75" customHeight="1">
      <c r="C393" s="1"/>
      <c r="F393" s="1"/>
      <c r="G393" s="1"/>
      <c r="L393" s="1"/>
    </row>
    <row r="394" ht="12.75" customHeight="1">
      <c r="C394" s="1"/>
      <c r="F394" s="1"/>
      <c r="G394" s="1"/>
      <c r="L394" s="1"/>
    </row>
    <row r="395" ht="12.75" customHeight="1">
      <c r="C395" s="1"/>
      <c r="F395" s="1"/>
      <c r="G395" s="1"/>
      <c r="L395" s="1"/>
    </row>
    <row r="396" ht="12.75" customHeight="1">
      <c r="C396" s="1"/>
      <c r="F396" s="1"/>
      <c r="G396" s="1"/>
      <c r="L396" s="1"/>
    </row>
    <row r="397" ht="12.75" customHeight="1">
      <c r="C397" s="1"/>
      <c r="F397" s="1"/>
      <c r="G397" s="1"/>
      <c r="L397" s="1"/>
    </row>
    <row r="398" ht="12.75" customHeight="1">
      <c r="C398" s="1"/>
      <c r="F398" s="1"/>
      <c r="G398" s="1"/>
      <c r="L398" s="1"/>
    </row>
    <row r="399" ht="12.75" customHeight="1">
      <c r="C399" s="1"/>
      <c r="F399" s="1"/>
      <c r="G399" s="1"/>
      <c r="L399" s="1"/>
    </row>
    <row r="400" ht="12.75" customHeight="1">
      <c r="C400" s="1"/>
      <c r="F400" s="1"/>
      <c r="G400" s="1"/>
      <c r="L400" s="1"/>
    </row>
    <row r="401" ht="12.75" customHeight="1">
      <c r="C401" s="1"/>
      <c r="F401" s="1"/>
      <c r="G401" s="1"/>
      <c r="L401" s="1"/>
    </row>
    <row r="402" ht="12.75" customHeight="1">
      <c r="C402" s="1"/>
      <c r="F402" s="1"/>
      <c r="G402" s="1"/>
      <c r="L402" s="1"/>
    </row>
    <row r="403" ht="12.75" customHeight="1">
      <c r="C403" s="1"/>
      <c r="F403" s="1"/>
      <c r="G403" s="1"/>
      <c r="L403" s="1"/>
    </row>
    <row r="404" ht="12.75" customHeight="1">
      <c r="C404" s="1"/>
      <c r="F404" s="1"/>
      <c r="G404" s="1"/>
      <c r="L404" s="1"/>
    </row>
    <row r="405" ht="12.75" customHeight="1">
      <c r="C405" s="1"/>
      <c r="F405" s="1"/>
      <c r="G405" s="1"/>
      <c r="L405" s="1"/>
    </row>
    <row r="406" ht="12.75" customHeight="1">
      <c r="C406" s="1"/>
      <c r="F406" s="1"/>
      <c r="G406" s="1"/>
      <c r="L406" s="1"/>
    </row>
    <row r="407" ht="12.75" customHeight="1">
      <c r="C407" s="1"/>
      <c r="F407" s="1"/>
      <c r="G407" s="1"/>
      <c r="L407" s="1"/>
    </row>
    <row r="408" ht="12.75" customHeight="1">
      <c r="C408" s="1"/>
      <c r="F408" s="1"/>
      <c r="G408" s="1"/>
      <c r="L408" s="1"/>
    </row>
    <row r="409" ht="12.75" customHeight="1">
      <c r="C409" s="1"/>
      <c r="F409" s="1"/>
      <c r="G409" s="1"/>
      <c r="L409" s="1"/>
    </row>
    <row r="410" ht="12.75" customHeight="1">
      <c r="C410" s="1"/>
      <c r="F410" s="1"/>
      <c r="G410" s="1"/>
      <c r="L410" s="1"/>
    </row>
    <row r="411" ht="12.75" customHeight="1">
      <c r="C411" s="1"/>
      <c r="F411" s="1"/>
      <c r="G411" s="1"/>
      <c r="L411" s="1"/>
    </row>
    <row r="412" ht="12.75" customHeight="1">
      <c r="C412" s="1"/>
      <c r="F412" s="1"/>
      <c r="G412" s="1"/>
      <c r="L412" s="1"/>
    </row>
    <row r="413" ht="12.75" customHeight="1">
      <c r="C413" s="1"/>
      <c r="F413" s="1"/>
      <c r="G413" s="1"/>
      <c r="L413" s="1"/>
    </row>
    <row r="414" ht="12.75" customHeight="1">
      <c r="C414" s="1"/>
      <c r="F414" s="1"/>
      <c r="G414" s="1"/>
      <c r="L414" s="1"/>
    </row>
    <row r="415" ht="12.75" customHeight="1">
      <c r="C415" s="1"/>
      <c r="F415" s="1"/>
      <c r="G415" s="1"/>
      <c r="L415" s="1"/>
    </row>
    <row r="416" ht="12.75" customHeight="1">
      <c r="C416" s="1"/>
      <c r="F416" s="1"/>
      <c r="G416" s="1"/>
      <c r="L416" s="1"/>
    </row>
    <row r="417" ht="12.75" customHeight="1">
      <c r="C417" s="1"/>
      <c r="F417" s="1"/>
      <c r="G417" s="1"/>
      <c r="L417" s="1"/>
    </row>
    <row r="418" ht="12.75" customHeight="1">
      <c r="C418" s="1"/>
      <c r="F418" s="1"/>
      <c r="G418" s="1"/>
      <c r="L418" s="1"/>
    </row>
    <row r="419" ht="12.75" customHeight="1">
      <c r="C419" s="1"/>
      <c r="F419" s="1"/>
      <c r="G419" s="1"/>
      <c r="L419" s="1"/>
    </row>
    <row r="420" ht="12.75" customHeight="1">
      <c r="C420" s="1"/>
      <c r="F420" s="1"/>
      <c r="G420" s="1"/>
      <c r="L420" s="1"/>
    </row>
    <row r="421" ht="12.75" customHeight="1">
      <c r="C421" s="1"/>
      <c r="F421" s="1"/>
      <c r="G421" s="1"/>
      <c r="L421" s="1"/>
    </row>
    <row r="422" ht="12.75" customHeight="1">
      <c r="C422" s="1"/>
      <c r="F422" s="1"/>
      <c r="G422" s="1"/>
      <c r="L422" s="1"/>
    </row>
    <row r="423" ht="12.75" customHeight="1">
      <c r="C423" s="1"/>
      <c r="F423" s="1"/>
      <c r="G423" s="1"/>
      <c r="L423" s="1"/>
    </row>
    <row r="424" ht="12.75" customHeight="1">
      <c r="C424" s="1"/>
      <c r="F424" s="1"/>
      <c r="G424" s="1"/>
      <c r="L424" s="1"/>
    </row>
    <row r="425" ht="12.75" customHeight="1">
      <c r="C425" s="1"/>
      <c r="F425" s="1"/>
      <c r="G425" s="1"/>
      <c r="L425" s="1"/>
    </row>
    <row r="426" ht="12.75" customHeight="1">
      <c r="C426" s="1"/>
      <c r="F426" s="1"/>
      <c r="G426" s="1"/>
      <c r="L426" s="1"/>
    </row>
    <row r="427" ht="12.75" customHeight="1">
      <c r="C427" s="1"/>
      <c r="F427" s="1"/>
      <c r="G427" s="1"/>
      <c r="L427" s="1"/>
    </row>
    <row r="428" ht="12.75" customHeight="1">
      <c r="C428" s="1"/>
      <c r="F428" s="1"/>
      <c r="G428" s="1"/>
      <c r="L428" s="1"/>
    </row>
    <row r="429" ht="12.75" customHeight="1">
      <c r="C429" s="1"/>
      <c r="F429" s="1"/>
      <c r="G429" s="1"/>
      <c r="L429" s="1"/>
    </row>
    <row r="430" ht="12.75" customHeight="1">
      <c r="C430" s="1"/>
      <c r="F430" s="1"/>
      <c r="G430" s="1"/>
      <c r="L430" s="1"/>
    </row>
    <row r="431" ht="12.75" customHeight="1">
      <c r="C431" s="1"/>
      <c r="F431" s="1"/>
      <c r="G431" s="1"/>
      <c r="L431" s="1"/>
    </row>
    <row r="432" ht="12.75" customHeight="1">
      <c r="C432" s="1"/>
      <c r="F432" s="1"/>
      <c r="G432" s="1"/>
      <c r="L432" s="1"/>
    </row>
    <row r="433" ht="12.75" customHeight="1">
      <c r="C433" s="1"/>
      <c r="F433" s="1"/>
      <c r="G433" s="1"/>
      <c r="L433" s="1"/>
    </row>
    <row r="434" ht="12.75" customHeight="1">
      <c r="C434" s="1"/>
      <c r="F434" s="1"/>
      <c r="G434" s="1"/>
      <c r="L434" s="1"/>
    </row>
    <row r="435" ht="12.75" customHeight="1">
      <c r="C435" s="1"/>
      <c r="F435" s="1"/>
      <c r="G435" s="1"/>
      <c r="L435" s="1"/>
    </row>
    <row r="436" ht="12.75" customHeight="1">
      <c r="C436" s="1"/>
      <c r="F436" s="1"/>
      <c r="G436" s="1"/>
      <c r="L436" s="1"/>
    </row>
    <row r="437" ht="12.75" customHeight="1">
      <c r="C437" s="1"/>
      <c r="F437" s="1"/>
      <c r="G437" s="1"/>
      <c r="L437" s="1"/>
    </row>
    <row r="438" ht="12.75" customHeight="1">
      <c r="C438" s="1"/>
      <c r="F438" s="1"/>
      <c r="G438" s="1"/>
      <c r="L438" s="1"/>
    </row>
    <row r="439" ht="12.75" customHeight="1">
      <c r="C439" s="1"/>
      <c r="F439" s="1"/>
      <c r="G439" s="1"/>
      <c r="L439" s="1"/>
    </row>
    <row r="440" ht="12.75" customHeight="1">
      <c r="C440" s="1"/>
      <c r="F440" s="1"/>
      <c r="G440" s="1"/>
      <c r="L440" s="1"/>
    </row>
    <row r="441" ht="12.75" customHeight="1">
      <c r="C441" s="1"/>
      <c r="F441" s="1"/>
      <c r="G441" s="1"/>
      <c r="L441" s="1"/>
    </row>
    <row r="442" ht="12.75" customHeight="1">
      <c r="C442" s="1"/>
      <c r="F442" s="1"/>
      <c r="G442" s="1"/>
      <c r="L442" s="1"/>
    </row>
    <row r="443" ht="12.75" customHeight="1">
      <c r="C443" s="1"/>
      <c r="F443" s="1"/>
      <c r="G443" s="1"/>
      <c r="L443" s="1"/>
    </row>
    <row r="444" ht="12.75" customHeight="1">
      <c r="C444" s="1"/>
      <c r="F444" s="1"/>
      <c r="G444" s="1"/>
      <c r="L444" s="1"/>
    </row>
    <row r="445" ht="12.75" customHeight="1">
      <c r="C445" s="1"/>
      <c r="F445" s="1"/>
      <c r="G445" s="1"/>
      <c r="L445" s="1"/>
    </row>
    <row r="446" ht="12.75" customHeight="1">
      <c r="C446" s="1"/>
      <c r="F446" s="1"/>
      <c r="G446" s="1"/>
      <c r="L446" s="1"/>
    </row>
    <row r="447" ht="12.75" customHeight="1">
      <c r="C447" s="1"/>
      <c r="F447" s="1"/>
      <c r="G447" s="1"/>
      <c r="L447" s="1"/>
    </row>
    <row r="448" ht="12.75" customHeight="1">
      <c r="C448" s="1"/>
      <c r="F448" s="1"/>
      <c r="G448" s="1"/>
      <c r="L448" s="1"/>
    </row>
    <row r="449" ht="12.75" customHeight="1">
      <c r="C449" s="1"/>
      <c r="F449" s="1"/>
      <c r="G449" s="1"/>
      <c r="L449" s="1"/>
    </row>
    <row r="450" ht="12.75" customHeight="1">
      <c r="C450" s="1"/>
      <c r="F450" s="1"/>
      <c r="G450" s="1"/>
      <c r="L450" s="1"/>
    </row>
    <row r="451" ht="12.75" customHeight="1">
      <c r="C451" s="1"/>
      <c r="F451" s="1"/>
      <c r="G451" s="1"/>
      <c r="L451" s="1"/>
    </row>
    <row r="452" ht="12.75" customHeight="1">
      <c r="C452" s="1"/>
      <c r="F452" s="1"/>
      <c r="G452" s="1"/>
      <c r="L452" s="1"/>
    </row>
    <row r="453" ht="12.75" customHeight="1">
      <c r="C453" s="1"/>
      <c r="F453" s="1"/>
      <c r="G453" s="1"/>
      <c r="L453" s="1"/>
    </row>
    <row r="454" ht="12.75" customHeight="1">
      <c r="C454" s="1"/>
      <c r="F454" s="1"/>
      <c r="G454" s="1"/>
      <c r="L454" s="1"/>
    </row>
    <row r="455" ht="12.75" customHeight="1">
      <c r="C455" s="1"/>
      <c r="F455" s="1"/>
      <c r="G455" s="1"/>
      <c r="L455" s="1"/>
    </row>
    <row r="456" ht="12.75" customHeight="1">
      <c r="C456" s="1"/>
      <c r="F456" s="1"/>
      <c r="G456" s="1"/>
      <c r="L456" s="1"/>
    </row>
    <row r="457" ht="12.75" customHeight="1">
      <c r="C457" s="1"/>
      <c r="F457" s="1"/>
      <c r="G457" s="1"/>
      <c r="L457" s="1"/>
    </row>
    <row r="458" ht="12.75" customHeight="1">
      <c r="C458" s="1"/>
      <c r="F458" s="1"/>
      <c r="G458" s="1"/>
      <c r="L458" s="1"/>
    </row>
    <row r="459" ht="12.75" customHeight="1">
      <c r="C459" s="1"/>
      <c r="F459" s="1"/>
      <c r="G459" s="1"/>
      <c r="L459" s="1"/>
    </row>
    <row r="460" ht="12.75" customHeight="1">
      <c r="C460" s="1"/>
      <c r="F460" s="1"/>
      <c r="G460" s="1"/>
      <c r="L460" s="1"/>
    </row>
    <row r="461" ht="12.75" customHeight="1">
      <c r="C461" s="1"/>
      <c r="F461" s="1"/>
      <c r="G461" s="1"/>
      <c r="L461" s="1"/>
    </row>
    <row r="462" ht="12.75" customHeight="1">
      <c r="C462" s="1"/>
      <c r="F462" s="1"/>
      <c r="G462" s="1"/>
      <c r="L462" s="1"/>
    </row>
    <row r="463" ht="12.75" customHeight="1">
      <c r="C463" s="1"/>
      <c r="F463" s="1"/>
      <c r="G463" s="1"/>
      <c r="L463" s="1"/>
    </row>
    <row r="464" ht="12.75" customHeight="1">
      <c r="C464" s="1"/>
      <c r="F464" s="1"/>
      <c r="G464" s="1"/>
      <c r="L464" s="1"/>
    </row>
    <row r="465" ht="12.75" customHeight="1">
      <c r="C465" s="1"/>
      <c r="F465" s="1"/>
      <c r="G465" s="1"/>
      <c r="L465" s="1"/>
    </row>
    <row r="466" ht="12.75" customHeight="1">
      <c r="C466" s="1"/>
      <c r="F466" s="1"/>
      <c r="G466" s="1"/>
      <c r="L466" s="1"/>
    </row>
    <row r="467" ht="12.75" customHeight="1">
      <c r="C467" s="1"/>
      <c r="F467" s="1"/>
      <c r="G467" s="1"/>
      <c r="L467" s="1"/>
    </row>
    <row r="468" ht="12.75" customHeight="1">
      <c r="C468" s="1"/>
      <c r="F468" s="1"/>
      <c r="G468" s="1"/>
      <c r="L468" s="1"/>
    </row>
    <row r="469" ht="12.75" customHeight="1">
      <c r="C469" s="1"/>
      <c r="F469" s="1"/>
      <c r="G469" s="1"/>
      <c r="L469" s="1"/>
    </row>
    <row r="470" ht="12.75" customHeight="1">
      <c r="C470" s="1"/>
      <c r="F470" s="1"/>
      <c r="G470" s="1"/>
      <c r="L470" s="1"/>
    </row>
    <row r="471" ht="12.75" customHeight="1">
      <c r="C471" s="1"/>
      <c r="F471" s="1"/>
      <c r="G471" s="1"/>
      <c r="L471" s="1"/>
    </row>
    <row r="472" ht="12.75" customHeight="1">
      <c r="C472" s="1"/>
      <c r="F472" s="1"/>
      <c r="G472" s="1"/>
      <c r="L472" s="1"/>
    </row>
    <row r="473" ht="12.75" customHeight="1">
      <c r="C473" s="1"/>
      <c r="F473" s="1"/>
      <c r="G473" s="1"/>
      <c r="L473" s="1"/>
    </row>
    <row r="474" ht="12.75" customHeight="1">
      <c r="C474" s="1"/>
      <c r="F474" s="1"/>
      <c r="G474" s="1"/>
      <c r="L474" s="1"/>
    </row>
    <row r="475" ht="12.75" customHeight="1">
      <c r="C475" s="1"/>
      <c r="F475" s="1"/>
      <c r="G475" s="1"/>
      <c r="L475" s="1"/>
    </row>
    <row r="476" ht="12.75" customHeight="1">
      <c r="C476" s="1"/>
      <c r="F476" s="1"/>
      <c r="G476" s="1"/>
      <c r="L476" s="1"/>
    </row>
    <row r="477" ht="12.75" customHeight="1">
      <c r="C477" s="1"/>
      <c r="F477" s="1"/>
      <c r="G477" s="1"/>
      <c r="L477" s="1"/>
    </row>
    <row r="478" ht="12.75" customHeight="1">
      <c r="C478" s="1"/>
      <c r="F478" s="1"/>
      <c r="G478" s="1"/>
      <c r="L478" s="1"/>
    </row>
    <row r="479" ht="12.75" customHeight="1">
      <c r="C479" s="1"/>
      <c r="F479" s="1"/>
      <c r="G479" s="1"/>
      <c r="L479" s="1"/>
    </row>
    <row r="480" ht="12.75" customHeight="1">
      <c r="C480" s="1"/>
      <c r="F480" s="1"/>
      <c r="G480" s="1"/>
      <c r="L480" s="1"/>
    </row>
    <row r="481" ht="12.75" customHeight="1">
      <c r="C481" s="1"/>
      <c r="F481" s="1"/>
      <c r="G481" s="1"/>
      <c r="L481" s="1"/>
    </row>
    <row r="482" ht="12.75" customHeight="1">
      <c r="C482" s="1"/>
      <c r="F482" s="1"/>
      <c r="G482" s="1"/>
      <c r="L482" s="1"/>
    </row>
    <row r="483" ht="12.75" customHeight="1">
      <c r="C483" s="1"/>
      <c r="F483" s="1"/>
      <c r="G483" s="1"/>
      <c r="L483" s="1"/>
    </row>
    <row r="484" ht="12.75" customHeight="1">
      <c r="C484" s="1"/>
      <c r="F484" s="1"/>
      <c r="G484" s="1"/>
      <c r="L484" s="1"/>
    </row>
    <row r="485" ht="12.75" customHeight="1">
      <c r="C485" s="1"/>
      <c r="F485" s="1"/>
      <c r="G485" s="1"/>
      <c r="L485" s="1"/>
    </row>
    <row r="486" ht="12.75" customHeight="1">
      <c r="C486" s="1"/>
      <c r="F486" s="1"/>
      <c r="G486" s="1"/>
      <c r="L486" s="1"/>
    </row>
    <row r="487" ht="12.75" customHeight="1">
      <c r="C487" s="1"/>
      <c r="F487" s="1"/>
      <c r="G487" s="1"/>
      <c r="L487" s="1"/>
    </row>
    <row r="488" ht="12.75" customHeight="1">
      <c r="C488" s="1"/>
      <c r="F488" s="1"/>
      <c r="G488" s="1"/>
      <c r="L488" s="1"/>
    </row>
    <row r="489" ht="12.75" customHeight="1">
      <c r="C489" s="1"/>
      <c r="F489" s="1"/>
      <c r="G489" s="1"/>
      <c r="L489" s="1"/>
    </row>
    <row r="490" ht="12.75" customHeight="1">
      <c r="C490" s="1"/>
      <c r="F490" s="1"/>
      <c r="G490" s="1"/>
      <c r="L490" s="1"/>
    </row>
    <row r="491" ht="12.75" customHeight="1">
      <c r="C491" s="1"/>
      <c r="F491" s="1"/>
      <c r="G491" s="1"/>
      <c r="L491" s="1"/>
    </row>
    <row r="492" ht="12.75" customHeight="1">
      <c r="C492" s="1"/>
      <c r="F492" s="1"/>
      <c r="G492" s="1"/>
      <c r="L492" s="1"/>
    </row>
    <row r="493" ht="12.75" customHeight="1">
      <c r="C493" s="1"/>
      <c r="F493" s="1"/>
      <c r="G493" s="1"/>
      <c r="L493" s="1"/>
    </row>
    <row r="494" ht="12.75" customHeight="1">
      <c r="C494" s="1"/>
      <c r="F494" s="1"/>
      <c r="G494" s="1"/>
      <c r="L494" s="1"/>
    </row>
    <row r="495" ht="12.75" customHeight="1">
      <c r="C495" s="1"/>
      <c r="F495" s="1"/>
      <c r="G495" s="1"/>
      <c r="L495" s="1"/>
    </row>
    <row r="496" ht="12.75" customHeight="1">
      <c r="C496" s="1"/>
      <c r="F496" s="1"/>
      <c r="G496" s="1"/>
      <c r="L496" s="1"/>
    </row>
    <row r="497" ht="12.75" customHeight="1">
      <c r="C497" s="1"/>
      <c r="F497" s="1"/>
      <c r="G497" s="1"/>
      <c r="L497" s="1"/>
    </row>
    <row r="498" ht="12.75" customHeight="1">
      <c r="C498" s="1"/>
      <c r="F498" s="1"/>
      <c r="G498" s="1"/>
      <c r="L498" s="1"/>
    </row>
    <row r="499" ht="12.75" customHeight="1">
      <c r="C499" s="1"/>
      <c r="F499" s="1"/>
      <c r="G499" s="1"/>
      <c r="L499" s="1"/>
    </row>
    <row r="500" ht="12.75" customHeight="1">
      <c r="C500" s="1"/>
      <c r="F500" s="1"/>
      <c r="G500" s="1"/>
      <c r="L500" s="1"/>
    </row>
    <row r="501" ht="12.75" customHeight="1">
      <c r="C501" s="1"/>
      <c r="F501" s="1"/>
      <c r="G501" s="1"/>
      <c r="L501" s="1"/>
    </row>
    <row r="502" ht="12.75" customHeight="1">
      <c r="C502" s="1"/>
      <c r="F502" s="1"/>
      <c r="G502" s="1"/>
      <c r="L502" s="1"/>
    </row>
    <row r="503" ht="12.75" customHeight="1">
      <c r="C503" s="1"/>
      <c r="F503" s="1"/>
      <c r="G503" s="1"/>
      <c r="L503" s="1"/>
    </row>
    <row r="504" ht="12.75" customHeight="1">
      <c r="C504" s="1"/>
      <c r="F504" s="1"/>
      <c r="G504" s="1"/>
      <c r="L504" s="1"/>
    </row>
    <row r="505" ht="12.75" customHeight="1">
      <c r="C505" s="1"/>
      <c r="F505" s="1"/>
      <c r="G505" s="1"/>
      <c r="L505" s="1"/>
    </row>
    <row r="506" ht="12.75" customHeight="1">
      <c r="C506" s="1"/>
      <c r="F506" s="1"/>
      <c r="G506" s="1"/>
      <c r="L506" s="1"/>
    </row>
    <row r="507" ht="12.75" customHeight="1">
      <c r="C507" s="1"/>
      <c r="F507" s="1"/>
      <c r="G507" s="1"/>
      <c r="L507" s="1"/>
    </row>
    <row r="508" ht="12.75" customHeight="1">
      <c r="C508" s="1"/>
      <c r="F508" s="1"/>
      <c r="G508" s="1"/>
      <c r="L508" s="1"/>
    </row>
    <row r="509" ht="12.75" customHeight="1">
      <c r="C509" s="1"/>
      <c r="F509" s="1"/>
      <c r="G509" s="1"/>
      <c r="L509" s="1"/>
    </row>
    <row r="510" ht="12.75" customHeight="1">
      <c r="C510" s="1"/>
      <c r="F510" s="1"/>
      <c r="G510" s="1"/>
      <c r="L510" s="1"/>
    </row>
    <row r="511" ht="12.75" customHeight="1">
      <c r="C511" s="1"/>
      <c r="F511" s="1"/>
      <c r="G511" s="1"/>
      <c r="L511" s="1"/>
    </row>
    <row r="512" ht="12.75" customHeight="1">
      <c r="C512" s="1"/>
      <c r="F512" s="1"/>
      <c r="G512" s="1"/>
      <c r="L512" s="1"/>
    </row>
    <row r="513" ht="12.75" customHeight="1">
      <c r="C513" s="1"/>
      <c r="F513" s="1"/>
      <c r="G513" s="1"/>
      <c r="L513" s="1"/>
    </row>
    <row r="514" ht="12.75" customHeight="1">
      <c r="C514" s="1"/>
      <c r="F514" s="1"/>
      <c r="G514" s="1"/>
      <c r="L514" s="1"/>
    </row>
    <row r="515" ht="12.75" customHeight="1">
      <c r="C515" s="1"/>
      <c r="F515" s="1"/>
      <c r="G515" s="1"/>
      <c r="L515" s="1"/>
    </row>
    <row r="516" ht="12.75" customHeight="1">
      <c r="C516" s="1"/>
      <c r="F516" s="1"/>
      <c r="G516" s="1"/>
      <c r="L516" s="1"/>
    </row>
    <row r="517" ht="12.75" customHeight="1">
      <c r="C517" s="1"/>
      <c r="F517" s="1"/>
      <c r="G517" s="1"/>
      <c r="L517" s="1"/>
    </row>
    <row r="518" ht="12.75" customHeight="1">
      <c r="C518" s="1"/>
      <c r="F518" s="1"/>
      <c r="G518" s="1"/>
      <c r="L518" s="1"/>
    </row>
    <row r="519" ht="12.75" customHeight="1">
      <c r="C519" s="1"/>
      <c r="F519" s="1"/>
      <c r="G519" s="1"/>
      <c r="L519" s="1"/>
    </row>
    <row r="520" ht="12.75" customHeight="1">
      <c r="C520" s="1"/>
      <c r="F520" s="1"/>
      <c r="G520" s="1"/>
      <c r="L520" s="1"/>
    </row>
    <row r="521" ht="12.75" customHeight="1">
      <c r="C521" s="1"/>
      <c r="F521" s="1"/>
      <c r="G521" s="1"/>
      <c r="L521" s="1"/>
    </row>
    <row r="522" ht="12.75" customHeight="1">
      <c r="C522" s="1"/>
      <c r="F522" s="1"/>
      <c r="G522" s="1"/>
      <c r="L522" s="1"/>
    </row>
    <row r="523" ht="12.75" customHeight="1">
      <c r="C523" s="1"/>
      <c r="F523" s="1"/>
      <c r="G523" s="1"/>
      <c r="L523" s="1"/>
    </row>
    <row r="524" ht="12.75" customHeight="1">
      <c r="C524" s="1"/>
      <c r="F524" s="1"/>
      <c r="G524" s="1"/>
      <c r="L524" s="1"/>
    </row>
    <row r="525" ht="12.75" customHeight="1">
      <c r="C525" s="1"/>
      <c r="F525" s="1"/>
      <c r="G525" s="1"/>
      <c r="L525" s="1"/>
    </row>
    <row r="526" ht="12.75" customHeight="1">
      <c r="C526" s="1"/>
      <c r="F526" s="1"/>
      <c r="G526" s="1"/>
      <c r="L526" s="1"/>
    </row>
    <row r="527" ht="12.75" customHeight="1">
      <c r="C527" s="1"/>
      <c r="F527" s="1"/>
      <c r="G527" s="1"/>
      <c r="L527" s="1"/>
    </row>
    <row r="528" ht="12.75" customHeight="1">
      <c r="C528" s="1"/>
      <c r="F528" s="1"/>
      <c r="G528" s="1"/>
      <c r="L528" s="1"/>
    </row>
    <row r="529" ht="12.75" customHeight="1">
      <c r="C529" s="1"/>
      <c r="F529" s="1"/>
      <c r="G529" s="1"/>
      <c r="L529" s="1"/>
    </row>
    <row r="530" ht="12.75" customHeight="1">
      <c r="C530" s="1"/>
      <c r="F530" s="1"/>
      <c r="G530" s="1"/>
      <c r="L530" s="1"/>
    </row>
    <row r="531" ht="12.75" customHeight="1">
      <c r="C531" s="1"/>
      <c r="F531" s="1"/>
      <c r="G531" s="1"/>
      <c r="L531" s="1"/>
    </row>
    <row r="532" ht="12.75" customHeight="1">
      <c r="C532" s="1"/>
      <c r="F532" s="1"/>
      <c r="G532" s="1"/>
      <c r="L532" s="1"/>
    </row>
    <row r="533" ht="12.75" customHeight="1">
      <c r="C533" s="1"/>
      <c r="F533" s="1"/>
      <c r="G533" s="1"/>
      <c r="L533" s="1"/>
    </row>
    <row r="534" ht="12.75" customHeight="1">
      <c r="C534" s="1"/>
      <c r="F534" s="1"/>
      <c r="G534" s="1"/>
      <c r="L534" s="1"/>
    </row>
    <row r="535" ht="12.75" customHeight="1">
      <c r="C535" s="1"/>
      <c r="F535" s="1"/>
      <c r="G535" s="1"/>
      <c r="L535" s="1"/>
    </row>
    <row r="536" ht="12.75" customHeight="1">
      <c r="C536" s="1"/>
      <c r="F536" s="1"/>
      <c r="G536" s="1"/>
      <c r="L536" s="1"/>
    </row>
    <row r="537" ht="12.75" customHeight="1">
      <c r="C537" s="1"/>
      <c r="F537" s="1"/>
      <c r="G537" s="1"/>
      <c r="L537" s="1"/>
    </row>
    <row r="538" ht="12.75" customHeight="1">
      <c r="C538" s="1"/>
      <c r="F538" s="1"/>
      <c r="G538" s="1"/>
      <c r="L538" s="1"/>
    </row>
    <row r="539" ht="12.75" customHeight="1">
      <c r="C539" s="1"/>
      <c r="F539" s="1"/>
      <c r="G539" s="1"/>
      <c r="L539" s="1"/>
    </row>
    <row r="540" ht="12.75" customHeight="1">
      <c r="C540" s="1"/>
      <c r="F540" s="1"/>
      <c r="G540" s="1"/>
      <c r="L540" s="1"/>
    </row>
    <row r="541" ht="12.75" customHeight="1">
      <c r="C541" s="1"/>
      <c r="F541" s="1"/>
      <c r="G541" s="1"/>
      <c r="L541" s="1"/>
    </row>
    <row r="542" ht="12.75" customHeight="1">
      <c r="C542" s="1"/>
      <c r="F542" s="1"/>
      <c r="G542" s="1"/>
      <c r="L542" s="1"/>
    </row>
    <row r="543" ht="12.75" customHeight="1">
      <c r="C543" s="1"/>
      <c r="F543" s="1"/>
      <c r="G543" s="1"/>
      <c r="L543" s="1"/>
    </row>
    <row r="544" ht="12.75" customHeight="1">
      <c r="C544" s="1"/>
      <c r="F544" s="1"/>
      <c r="G544" s="1"/>
      <c r="L544" s="1"/>
    </row>
    <row r="545" ht="12.75" customHeight="1">
      <c r="C545" s="1"/>
      <c r="F545" s="1"/>
      <c r="G545" s="1"/>
      <c r="L545" s="1"/>
    </row>
    <row r="546" ht="12.75" customHeight="1">
      <c r="C546" s="1"/>
      <c r="F546" s="1"/>
      <c r="G546" s="1"/>
      <c r="L546" s="1"/>
    </row>
    <row r="547" ht="12.75" customHeight="1">
      <c r="C547" s="1"/>
      <c r="F547" s="1"/>
      <c r="G547" s="1"/>
      <c r="L547" s="1"/>
    </row>
    <row r="548" ht="12.75" customHeight="1">
      <c r="C548" s="1"/>
      <c r="F548" s="1"/>
      <c r="G548" s="1"/>
      <c r="L548" s="1"/>
    </row>
    <row r="549" ht="12.75" customHeight="1">
      <c r="C549" s="1"/>
      <c r="F549" s="1"/>
      <c r="G549" s="1"/>
      <c r="L549" s="1"/>
    </row>
    <row r="550" ht="12.75" customHeight="1">
      <c r="C550" s="1"/>
      <c r="F550" s="1"/>
      <c r="G550" s="1"/>
      <c r="L550" s="1"/>
    </row>
    <row r="551" ht="12.75" customHeight="1">
      <c r="C551" s="1"/>
      <c r="F551" s="1"/>
      <c r="G551" s="1"/>
      <c r="L551" s="1"/>
    </row>
    <row r="552" ht="12.75" customHeight="1">
      <c r="C552" s="1"/>
      <c r="F552" s="1"/>
      <c r="G552" s="1"/>
      <c r="L552" s="1"/>
    </row>
    <row r="553" ht="12.75" customHeight="1">
      <c r="C553" s="1"/>
      <c r="F553" s="1"/>
      <c r="G553" s="1"/>
      <c r="L553" s="1"/>
    </row>
    <row r="554" ht="12.75" customHeight="1">
      <c r="C554" s="1"/>
      <c r="F554" s="1"/>
      <c r="G554" s="1"/>
      <c r="L554" s="1"/>
    </row>
    <row r="555" ht="12.75" customHeight="1">
      <c r="C555" s="1"/>
      <c r="F555" s="1"/>
      <c r="G555" s="1"/>
      <c r="L555" s="1"/>
    </row>
    <row r="556" ht="12.75" customHeight="1">
      <c r="C556" s="1"/>
      <c r="F556" s="1"/>
      <c r="G556" s="1"/>
      <c r="L556" s="1"/>
    </row>
    <row r="557" ht="12.75" customHeight="1">
      <c r="C557" s="1"/>
      <c r="F557" s="1"/>
      <c r="G557" s="1"/>
      <c r="L557" s="1"/>
    </row>
    <row r="558" ht="12.75" customHeight="1">
      <c r="C558" s="1"/>
      <c r="F558" s="1"/>
      <c r="G558" s="1"/>
      <c r="L558" s="1"/>
    </row>
    <row r="559" ht="12.75" customHeight="1">
      <c r="C559" s="1"/>
      <c r="F559" s="1"/>
      <c r="G559" s="1"/>
      <c r="L559" s="1"/>
    </row>
    <row r="560" ht="12.75" customHeight="1">
      <c r="C560" s="1"/>
      <c r="F560" s="1"/>
      <c r="G560" s="1"/>
      <c r="L560" s="1"/>
    </row>
    <row r="561" ht="12.75" customHeight="1">
      <c r="C561" s="1"/>
      <c r="F561" s="1"/>
      <c r="G561" s="1"/>
      <c r="L561" s="1"/>
    </row>
    <row r="562" ht="12.75" customHeight="1">
      <c r="C562" s="1"/>
      <c r="F562" s="1"/>
      <c r="G562" s="1"/>
      <c r="L562" s="1"/>
    </row>
    <row r="563" ht="12.75" customHeight="1">
      <c r="C563" s="1"/>
      <c r="F563" s="1"/>
      <c r="G563" s="1"/>
      <c r="L563" s="1"/>
    </row>
    <row r="564" ht="12.75" customHeight="1">
      <c r="C564" s="1"/>
      <c r="F564" s="1"/>
      <c r="G564" s="1"/>
      <c r="L564" s="1"/>
    </row>
    <row r="565" ht="12.75" customHeight="1">
      <c r="C565" s="1"/>
      <c r="F565" s="1"/>
      <c r="G565" s="1"/>
      <c r="L565" s="1"/>
    </row>
    <row r="566" ht="12.75" customHeight="1">
      <c r="C566" s="1"/>
      <c r="F566" s="1"/>
      <c r="G566" s="1"/>
      <c r="L566" s="1"/>
    </row>
    <row r="567" ht="12.75" customHeight="1">
      <c r="C567" s="1"/>
      <c r="F567" s="1"/>
      <c r="G567" s="1"/>
      <c r="L567" s="1"/>
    </row>
    <row r="568" ht="12.75" customHeight="1">
      <c r="C568" s="1"/>
      <c r="F568" s="1"/>
      <c r="G568" s="1"/>
      <c r="L568" s="1"/>
    </row>
    <row r="569" ht="12.75" customHeight="1">
      <c r="C569" s="1"/>
      <c r="F569" s="1"/>
      <c r="G569" s="1"/>
      <c r="L569" s="1"/>
    </row>
    <row r="570" ht="12.75" customHeight="1">
      <c r="C570" s="1"/>
      <c r="F570" s="1"/>
      <c r="G570" s="1"/>
      <c r="L570" s="1"/>
    </row>
    <row r="571" ht="12.75" customHeight="1">
      <c r="C571" s="1"/>
      <c r="F571" s="1"/>
      <c r="G571" s="1"/>
      <c r="L571" s="1"/>
    </row>
    <row r="572" ht="12.75" customHeight="1">
      <c r="C572" s="1"/>
      <c r="F572" s="1"/>
      <c r="G572" s="1"/>
      <c r="L572" s="1"/>
    </row>
    <row r="573" ht="12.75" customHeight="1">
      <c r="C573" s="1"/>
      <c r="F573" s="1"/>
      <c r="G573" s="1"/>
      <c r="L573" s="1"/>
    </row>
    <row r="574" ht="12.75" customHeight="1">
      <c r="C574" s="1"/>
      <c r="F574" s="1"/>
      <c r="G574" s="1"/>
      <c r="L574" s="1"/>
    </row>
    <row r="575" ht="12.75" customHeight="1">
      <c r="C575" s="1"/>
      <c r="F575" s="1"/>
      <c r="G575" s="1"/>
      <c r="L575" s="1"/>
    </row>
    <row r="576" ht="12.75" customHeight="1">
      <c r="C576" s="1"/>
      <c r="F576" s="1"/>
      <c r="G576" s="1"/>
      <c r="L576" s="1"/>
    </row>
    <row r="577" ht="12.75" customHeight="1">
      <c r="C577" s="1"/>
      <c r="F577" s="1"/>
      <c r="G577" s="1"/>
      <c r="L577" s="1"/>
    </row>
    <row r="578" ht="12.75" customHeight="1">
      <c r="C578" s="1"/>
      <c r="F578" s="1"/>
      <c r="G578" s="1"/>
      <c r="L578" s="1"/>
    </row>
    <row r="579" ht="12.75" customHeight="1">
      <c r="C579" s="1"/>
      <c r="F579" s="1"/>
      <c r="G579" s="1"/>
      <c r="L579" s="1"/>
    </row>
    <row r="580" ht="12.75" customHeight="1">
      <c r="C580" s="1"/>
      <c r="F580" s="1"/>
      <c r="G580" s="1"/>
      <c r="L580" s="1"/>
    </row>
    <row r="581" ht="12.75" customHeight="1">
      <c r="C581" s="1"/>
      <c r="F581" s="1"/>
      <c r="G581" s="1"/>
      <c r="L581" s="1"/>
    </row>
    <row r="582" ht="12.75" customHeight="1">
      <c r="C582" s="1"/>
      <c r="F582" s="1"/>
      <c r="G582" s="1"/>
      <c r="L582" s="1"/>
    </row>
    <row r="583" ht="12.75" customHeight="1">
      <c r="C583" s="1"/>
      <c r="F583" s="1"/>
      <c r="G583" s="1"/>
      <c r="L583" s="1"/>
    </row>
    <row r="584" ht="12.75" customHeight="1">
      <c r="C584" s="1"/>
      <c r="F584" s="1"/>
      <c r="G584" s="1"/>
      <c r="L584" s="1"/>
    </row>
    <row r="585" ht="12.75" customHeight="1">
      <c r="C585" s="1"/>
      <c r="F585" s="1"/>
      <c r="G585" s="1"/>
      <c r="L585" s="1"/>
    </row>
    <row r="586" ht="12.75" customHeight="1">
      <c r="C586" s="1"/>
      <c r="F586" s="1"/>
      <c r="G586" s="1"/>
      <c r="L586" s="1"/>
    </row>
    <row r="587" ht="12.75" customHeight="1">
      <c r="C587" s="1"/>
      <c r="F587" s="1"/>
      <c r="G587" s="1"/>
      <c r="L587" s="1"/>
    </row>
    <row r="588" ht="12.75" customHeight="1">
      <c r="C588" s="1"/>
      <c r="F588" s="1"/>
      <c r="G588" s="1"/>
      <c r="L588" s="1"/>
    </row>
    <row r="589" ht="12.75" customHeight="1">
      <c r="C589" s="1"/>
      <c r="F589" s="1"/>
      <c r="G589" s="1"/>
      <c r="L589" s="1"/>
    </row>
    <row r="590" ht="12.75" customHeight="1">
      <c r="C590" s="1"/>
      <c r="F590" s="1"/>
      <c r="G590" s="1"/>
      <c r="L590" s="1"/>
    </row>
    <row r="591" ht="12.75" customHeight="1">
      <c r="C591" s="1"/>
      <c r="F591" s="1"/>
      <c r="G591" s="1"/>
      <c r="L591" s="1"/>
    </row>
    <row r="592" ht="12.75" customHeight="1">
      <c r="C592" s="1"/>
      <c r="F592" s="1"/>
      <c r="G592" s="1"/>
      <c r="L592" s="1"/>
    </row>
    <row r="593" ht="12.75" customHeight="1">
      <c r="C593" s="1"/>
      <c r="F593" s="1"/>
      <c r="G593" s="1"/>
      <c r="L593" s="1"/>
    </row>
    <row r="594" ht="12.75" customHeight="1">
      <c r="C594" s="1"/>
      <c r="F594" s="1"/>
      <c r="G594" s="1"/>
      <c r="L594" s="1"/>
    </row>
    <row r="595" ht="12.75" customHeight="1">
      <c r="C595" s="1"/>
      <c r="F595" s="1"/>
      <c r="G595" s="1"/>
      <c r="L595" s="1"/>
    </row>
    <row r="596" ht="12.75" customHeight="1">
      <c r="C596" s="1"/>
      <c r="F596" s="1"/>
      <c r="G596" s="1"/>
      <c r="L596" s="1"/>
    </row>
    <row r="597" ht="12.75" customHeight="1">
      <c r="C597" s="1"/>
      <c r="F597" s="1"/>
      <c r="G597" s="1"/>
      <c r="L597" s="1"/>
    </row>
    <row r="598" ht="12.75" customHeight="1">
      <c r="C598" s="1"/>
      <c r="F598" s="1"/>
      <c r="G598" s="1"/>
      <c r="L598" s="1"/>
    </row>
    <row r="599" ht="12.75" customHeight="1">
      <c r="C599" s="1"/>
      <c r="F599" s="1"/>
      <c r="G599" s="1"/>
      <c r="L599" s="1"/>
    </row>
    <row r="600" ht="12.75" customHeight="1">
      <c r="C600" s="1"/>
      <c r="F600" s="1"/>
      <c r="G600" s="1"/>
      <c r="L600" s="1"/>
    </row>
    <row r="601" ht="12.75" customHeight="1">
      <c r="C601" s="1"/>
      <c r="F601" s="1"/>
      <c r="G601" s="1"/>
      <c r="L601" s="1"/>
    </row>
    <row r="602" ht="12.75" customHeight="1">
      <c r="C602" s="1"/>
      <c r="F602" s="1"/>
      <c r="G602" s="1"/>
      <c r="L602" s="1"/>
    </row>
    <row r="603" ht="12.75" customHeight="1">
      <c r="C603" s="1"/>
      <c r="F603" s="1"/>
      <c r="G603" s="1"/>
      <c r="L603" s="1"/>
    </row>
    <row r="604" ht="12.75" customHeight="1">
      <c r="C604" s="1"/>
      <c r="F604" s="1"/>
      <c r="G604" s="1"/>
      <c r="L604" s="1"/>
    </row>
    <row r="605" ht="12.75" customHeight="1">
      <c r="C605" s="1"/>
      <c r="F605" s="1"/>
      <c r="G605" s="1"/>
      <c r="L605" s="1"/>
    </row>
    <row r="606" ht="12.75" customHeight="1">
      <c r="C606" s="1"/>
      <c r="F606" s="1"/>
      <c r="G606" s="1"/>
      <c r="L606" s="1"/>
    </row>
    <row r="607" ht="12.75" customHeight="1">
      <c r="C607" s="1"/>
      <c r="F607" s="1"/>
      <c r="G607" s="1"/>
      <c r="L607" s="1"/>
    </row>
    <row r="608" ht="12.75" customHeight="1">
      <c r="C608" s="1"/>
      <c r="F608" s="1"/>
      <c r="G608" s="1"/>
      <c r="L608" s="1"/>
    </row>
    <row r="609" ht="12.75" customHeight="1">
      <c r="C609" s="1"/>
      <c r="F609" s="1"/>
      <c r="G609" s="1"/>
      <c r="L609" s="1"/>
    </row>
    <row r="610" ht="12.75" customHeight="1">
      <c r="C610" s="1"/>
      <c r="F610" s="1"/>
      <c r="G610" s="1"/>
      <c r="L610" s="1"/>
    </row>
    <row r="611" ht="12.75" customHeight="1">
      <c r="C611" s="1"/>
      <c r="F611" s="1"/>
      <c r="G611" s="1"/>
      <c r="L611" s="1"/>
    </row>
    <row r="612" ht="12.75" customHeight="1">
      <c r="C612" s="1"/>
      <c r="F612" s="1"/>
      <c r="G612" s="1"/>
      <c r="L612" s="1"/>
    </row>
    <row r="613" ht="12.75" customHeight="1">
      <c r="C613" s="1"/>
      <c r="F613" s="1"/>
      <c r="G613" s="1"/>
      <c r="L613" s="1"/>
    </row>
    <row r="614" ht="12.75" customHeight="1">
      <c r="C614" s="1"/>
      <c r="F614" s="1"/>
      <c r="G614" s="1"/>
      <c r="L614" s="1"/>
    </row>
    <row r="615" ht="12.75" customHeight="1">
      <c r="C615" s="1"/>
      <c r="F615" s="1"/>
      <c r="G615" s="1"/>
      <c r="L615" s="1"/>
    </row>
    <row r="616" ht="12.75" customHeight="1">
      <c r="C616" s="1"/>
      <c r="F616" s="1"/>
      <c r="G616" s="1"/>
      <c r="L616" s="1"/>
    </row>
    <row r="617" ht="12.75" customHeight="1">
      <c r="C617" s="1"/>
      <c r="F617" s="1"/>
      <c r="G617" s="1"/>
      <c r="L617" s="1"/>
    </row>
    <row r="618" ht="12.75" customHeight="1">
      <c r="C618" s="1"/>
      <c r="F618" s="1"/>
      <c r="G618" s="1"/>
      <c r="L618" s="1"/>
    </row>
    <row r="619" ht="12.75" customHeight="1">
      <c r="C619" s="1"/>
      <c r="F619" s="1"/>
      <c r="G619" s="1"/>
      <c r="L619" s="1"/>
    </row>
    <row r="620" ht="12.75" customHeight="1">
      <c r="C620" s="1"/>
      <c r="F620" s="1"/>
      <c r="G620" s="1"/>
      <c r="L620" s="1"/>
    </row>
    <row r="621" ht="12.75" customHeight="1">
      <c r="C621" s="1"/>
      <c r="F621" s="1"/>
      <c r="G621" s="1"/>
      <c r="L621" s="1"/>
    </row>
    <row r="622" ht="12.75" customHeight="1">
      <c r="C622" s="1"/>
      <c r="F622" s="1"/>
      <c r="G622" s="1"/>
      <c r="L622" s="1"/>
    </row>
    <row r="623" ht="12.75" customHeight="1">
      <c r="C623" s="1"/>
      <c r="F623" s="1"/>
      <c r="G623" s="1"/>
      <c r="L623" s="1"/>
    </row>
    <row r="624" ht="12.75" customHeight="1">
      <c r="C624" s="1"/>
      <c r="F624" s="1"/>
      <c r="G624" s="1"/>
      <c r="L624" s="1"/>
    </row>
    <row r="625" ht="12.75" customHeight="1">
      <c r="C625" s="1"/>
      <c r="F625" s="1"/>
      <c r="G625" s="1"/>
      <c r="L625" s="1"/>
    </row>
    <row r="626" ht="12.75" customHeight="1">
      <c r="C626" s="1"/>
      <c r="F626" s="1"/>
      <c r="G626" s="1"/>
      <c r="L626" s="1"/>
    </row>
    <row r="627" ht="12.75" customHeight="1">
      <c r="C627" s="1"/>
      <c r="F627" s="1"/>
      <c r="G627" s="1"/>
      <c r="L627" s="1"/>
    </row>
    <row r="628" ht="12.75" customHeight="1">
      <c r="C628" s="1"/>
      <c r="F628" s="1"/>
      <c r="G628" s="1"/>
      <c r="L628" s="1"/>
    </row>
    <row r="629" ht="12.75" customHeight="1">
      <c r="C629" s="1"/>
      <c r="F629" s="1"/>
      <c r="G629" s="1"/>
      <c r="L629" s="1"/>
    </row>
    <row r="630" ht="12.75" customHeight="1">
      <c r="C630" s="1"/>
      <c r="F630" s="1"/>
      <c r="G630" s="1"/>
      <c r="L630" s="1"/>
    </row>
    <row r="631" ht="12.75" customHeight="1">
      <c r="C631" s="1"/>
      <c r="F631" s="1"/>
      <c r="G631" s="1"/>
      <c r="L631" s="1"/>
    </row>
    <row r="632" ht="12.75" customHeight="1">
      <c r="C632" s="1"/>
      <c r="F632" s="1"/>
      <c r="G632" s="1"/>
      <c r="L632" s="1"/>
    </row>
    <row r="633" ht="12.75" customHeight="1">
      <c r="C633" s="1"/>
      <c r="F633" s="1"/>
      <c r="G633" s="1"/>
      <c r="L633" s="1"/>
    </row>
    <row r="634" ht="12.75" customHeight="1">
      <c r="C634" s="1"/>
      <c r="F634" s="1"/>
      <c r="G634" s="1"/>
      <c r="L634" s="1"/>
    </row>
    <row r="635" ht="12.75" customHeight="1">
      <c r="C635" s="1"/>
      <c r="F635" s="1"/>
      <c r="G635" s="1"/>
      <c r="L635" s="1"/>
    </row>
    <row r="636" ht="12.75" customHeight="1">
      <c r="C636" s="1"/>
      <c r="F636" s="1"/>
      <c r="G636" s="1"/>
      <c r="L636" s="1"/>
    </row>
    <row r="637" ht="12.75" customHeight="1">
      <c r="C637" s="1"/>
      <c r="F637" s="1"/>
      <c r="G637" s="1"/>
      <c r="L637" s="1"/>
    </row>
    <row r="638" ht="12.75" customHeight="1">
      <c r="C638" s="1"/>
      <c r="F638" s="1"/>
      <c r="G638" s="1"/>
      <c r="L638" s="1"/>
    </row>
    <row r="639" ht="12.75" customHeight="1">
      <c r="C639" s="1"/>
      <c r="F639" s="1"/>
      <c r="G639" s="1"/>
      <c r="L639" s="1"/>
    </row>
    <row r="640" ht="12.75" customHeight="1">
      <c r="C640" s="1"/>
      <c r="F640" s="1"/>
      <c r="G640" s="1"/>
      <c r="L640" s="1"/>
    </row>
    <row r="641" ht="12.75" customHeight="1">
      <c r="C641" s="1"/>
      <c r="F641" s="1"/>
      <c r="G641" s="1"/>
      <c r="L641" s="1"/>
    </row>
    <row r="642" ht="12.75" customHeight="1">
      <c r="C642" s="1"/>
      <c r="F642" s="1"/>
      <c r="G642" s="1"/>
      <c r="L642" s="1"/>
    </row>
    <row r="643" ht="12.75" customHeight="1">
      <c r="C643" s="1"/>
      <c r="F643" s="1"/>
      <c r="G643" s="1"/>
      <c r="L643" s="1"/>
    </row>
    <row r="644" ht="12.75" customHeight="1">
      <c r="C644" s="1"/>
      <c r="F644" s="1"/>
      <c r="G644" s="1"/>
      <c r="L644" s="1"/>
    </row>
    <row r="645" ht="12.75" customHeight="1">
      <c r="C645" s="1"/>
      <c r="F645" s="1"/>
      <c r="G645" s="1"/>
      <c r="L645" s="1"/>
    </row>
    <row r="646" ht="12.75" customHeight="1">
      <c r="C646" s="1"/>
      <c r="F646" s="1"/>
      <c r="G646" s="1"/>
      <c r="L646" s="1"/>
    </row>
    <row r="647" ht="12.75" customHeight="1">
      <c r="C647" s="1"/>
      <c r="F647" s="1"/>
      <c r="G647" s="1"/>
      <c r="L647" s="1"/>
    </row>
    <row r="648" ht="12.75" customHeight="1">
      <c r="C648" s="1"/>
      <c r="F648" s="1"/>
      <c r="G648" s="1"/>
      <c r="L648" s="1"/>
    </row>
    <row r="649" ht="12.75" customHeight="1">
      <c r="C649" s="1"/>
      <c r="F649" s="1"/>
      <c r="G649" s="1"/>
      <c r="L649" s="1"/>
    </row>
    <row r="650" ht="12.75" customHeight="1">
      <c r="C650" s="1"/>
      <c r="F650" s="1"/>
      <c r="G650" s="1"/>
      <c r="L650" s="1"/>
    </row>
    <row r="651" ht="12.75" customHeight="1">
      <c r="C651" s="1"/>
      <c r="F651" s="1"/>
      <c r="G651" s="1"/>
      <c r="L651" s="1"/>
    </row>
    <row r="652" ht="12.75" customHeight="1">
      <c r="C652" s="1"/>
      <c r="F652" s="1"/>
      <c r="G652" s="1"/>
      <c r="L652" s="1"/>
    </row>
    <row r="653" ht="12.75" customHeight="1">
      <c r="C653" s="1"/>
      <c r="F653" s="1"/>
      <c r="G653" s="1"/>
      <c r="L653" s="1"/>
    </row>
    <row r="654" ht="12.75" customHeight="1">
      <c r="C654" s="1"/>
      <c r="F654" s="1"/>
      <c r="G654" s="1"/>
      <c r="L654" s="1"/>
    </row>
    <row r="655" ht="12.75" customHeight="1">
      <c r="C655" s="1"/>
      <c r="F655" s="1"/>
      <c r="G655" s="1"/>
      <c r="L655" s="1"/>
    </row>
    <row r="656" ht="12.75" customHeight="1">
      <c r="C656" s="1"/>
      <c r="F656" s="1"/>
      <c r="G656" s="1"/>
      <c r="L656" s="1"/>
    </row>
    <row r="657" ht="12.75" customHeight="1">
      <c r="C657" s="1"/>
      <c r="F657" s="1"/>
      <c r="G657" s="1"/>
      <c r="L657" s="1"/>
    </row>
    <row r="658" ht="12.75" customHeight="1">
      <c r="C658" s="1"/>
      <c r="F658" s="1"/>
      <c r="G658" s="1"/>
      <c r="L658" s="1"/>
    </row>
    <row r="659" ht="12.75" customHeight="1">
      <c r="C659" s="1"/>
      <c r="F659" s="1"/>
      <c r="G659" s="1"/>
      <c r="L659" s="1"/>
    </row>
    <row r="660" ht="12.75" customHeight="1">
      <c r="C660" s="1"/>
      <c r="F660" s="1"/>
      <c r="G660" s="1"/>
      <c r="L660" s="1"/>
    </row>
    <row r="661" ht="12.75" customHeight="1">
      <c r="C661" s="1"/>
      <c r="F661" s="1"/>
      <c r="G661" s="1"/>
      <c r="L661" s="1"/>
    </row>
    <row r="662" ht="12.75" customHeight="1">
      <c r="C662" s="1"/>
      <c r="F662" s="1"/>
      <c r="G662" s="1"/>
      <c r="L662" s="1"/>
    </row>
    <row r="663" ht="12.75" customHeight="1">
      <c r="C663" s="1"/>
      <c r="F663" s="1"/>
      <c r="G663" s="1"/>
      <c r="L663" s="1"/>
    </row>
    <row r="664" ht="12.75" customHeight="1">
      <c r="C664" s="1"/>
      <c r="F664" s="1"/>
      <c r="G664" s="1"/>
      <c r="L664" s="1"/>
    </row>
    <row r="665" ht="12.75" customHeight="1">
      <c r="C665" s="1"/>
      <c r="F665" s="1"/>
      <c r="G665" s="1"/>
      <c r="L665" s="1"/>
    </row>
    <row r="666" ht="12.75" customHeight="1">
      <c r="C666" s="1"/>
      <c r="F666" s="1"/>
      <c r="G666" s="1"/>
      <c r="L666" s="1"/>
    </row>
    <row r="667" ht="12.75" customHeight="1">
      <c r="C667" s="1"/>
      <c r="F667" s="1"/>
      <c r="G667" s="1"/>
      <c r="L667" s="1"/>
    </row>
    <row r="668" ht="12.75" customHeight="1">
      <c r="C668" s="1"/>
      <c r="F668" s="1"/>
      <c r="G668" s="1"/>
      <c r="L668" s="1"/>
    </row>
    <row r="669" ht="12.75" customHeight="1">
      <c r="C669" s="1"/>
      <c r="F669" s="1"/>
      <c r="G669" s="1"/>
      <c r="L669" s="1"/>
    </row>
    <row r="670" ht="12.75" customHeight="1">
      <c r="C670" s="1"/>
      <c r="F670" s="1"/>
      <c r="G670" s="1"/>
      <c r="L670" s="1"/>
    </row>
    <row r="671" ht="12.75" customHeight="1">
      <c r="C671" s="1"/>
      <c r="F671" s="1"/>
      <c r="G671" s="1"/>
      <c r="L671" s="1"/>
    </row>
    <row r="672" ht="12.75" customHeight="1">
      <c r="C672" s="1"/>
      <c r="F672" s="1"/>
      <c r="G672" s="1"/>
      <c r="L672" s="1"/>
    </row>
    <row r="673" ht="12.75" customHeight="1">
      <c r="C673" s="1"/>
      <c r="F673" s="1"/>
      <c r="G673" s="1"/>
      <c r="L673" s="1"/>
    </row>
    <row r="674" ht="12.75" customHeight="1">
      <c r="C674" s="1"/>
      <c r="F674" s="1"/>
      <c r="G674" s="1"/>
      <c r="L674" s="1"/>
    </row>
    <row r="675" ht="12.75" customHeight="1">
      <c r="C675" s="1"/>
      <c r="F675" s="1"/>
      <c r="G675" s="1"/>
      <c r="L675" s="1"/>
    </row>
    <row r="676" ht="12.75" customHeight="1">
      <c r="C676" s="1"/>
      <c r="F676" s="1"/>
      <c r="G676" s="1"/>
      <c r="L676" s="1"/>
    </row>
    <row r="677" ht="12.75" customHeight="1">
      <c r="C677" s="1"/>
      <c r="F677" s="1"/>
      <c r="G677" s="1"/>
      <c r="L677" s="1"/>
    </row>
    <row r="678" ht="12.75" customHeight="1">
      <c r="C678" s="1"/>
      <c r="F678" s="1"/>
      <c r="G678" s="1"/>
      <c r="L678" s="1"/>
    </row>
    <row r="679" ht="12.75" customHeight="1">
      <c r="C679" s="1"/>
      <c r="F679" s="1"/>
      <c r="G679" s="1"/>
      <c r="L679" s="1"/>
    </row>
    <row r="680" ht="12.75" customHeight="1">
      <c r="C680" s="1"/>
      <c r="F680" s="1"/>
      <c r="G680" s="1"/>
      <c r="L680" s="1"/>
    </row>
    <row r="681" ht="12.75" customHeight="1">
      <c r="C681" s="1"/>
      <c r="F681" s="1"/>
      <c r="G681" s="1"/>
      <c r="L681" s="1"/>
    </row>
    <row r="682" ht="12.75" customHeight="1">
      <c r="C682" s="1"/>
      <c r="F682" s="1"/>
      <c r="G682" s="1"/>
      <c r="L682" s="1"/>
    </row>
    <row r="683" ht="12.75" customHeight="1">
      <c r="C683" s="1"/>
      <c r="F683" s="1"/>
      <c r="G683" s="1"/>
      <c r="L683" s="1"/>
    </row>
    <row r="684" ht="12.75" customHeight="1">
      <c r="C684" s="1"/>
      <c r="F684" s="1"/>
      <c r="G684" s="1"/>
      <c r="L684" s="1"/>
    </row>
    <row r="685" ht="12.75" customHeight="1">
      <c r="C685" s="1"/>
      <c r="F685" s="1"/>
      <c r="G685" s="1"/>
      <c r="L685" s="1"/>
    </row>
    <row r="686" ht="12.75" customHeight="1">
      <c r="C686" s="1"/>
      <c r="F686" s="1"/>
      <c r="G686" s="1"/>
      <c r="L686" s="1"/>
    </row>
    <row r="687" ht="12.75" customHeight="1">
      <c r="C687" s="1"/>
      <c r="F687" s="1"/>
      <c r="G687" s="1"/>
      <c r="L687" s="1"/>
    </row>
    <row r="688" ht="12.75" customHeight="1">
      <c r="C688" s="1"/>
      <c r="F688" s="1"/>
      <c r="G688" s="1"/>
      <c r="L688" s="1"/>
    </row>
    <row r="689" ht="12.75" customHeight="1">
      <c r="C689" s="1"/>
      <c r="F689" s="1"/>
      <c r="G689" s="1"/>
      <c r="L689" s="1"/>
    </row>
    <row r="690" ht="12.75" customHeight="1">
      <c r="C690" s="1"/>
      <c r="F690" s="1"/>
      <c r="G690" s="1"/>
      <c r="L690" s="1"/>
    </row>
    <row r="691" ht="12.75" customHeight="1">
      <c r="C691" s="1"/>
      <c r="F691" s="1"/>
      <c r="G691" s="1"/>
      <c r="L691" s="1"/>
    </row>
    <row r="692" ht="12.75" customHeight="1">
      <c r="C692" s="1"/>
      <c r="F692" s="1"/>
      <c r="G692" s="1"/>
      <c r="L692" s="1"/>
    </row>
    <row r="693" ht="12.75" customHeight="1">
      <c r="C693" s="1"/>
      <c r="F693" s="1"/>
      <c r="G693" s="1"/>
      <c r="L693" s="1"/>
    </row>
    <row r="694" ht="12.75" customHeight="1">
      <c r="C694" s="1"/>
      <c r="F694" s="1"/>
      <c r="G694" s="1"/>
      <c r="L694" s="1"/>
    </row>
    <row r="695" ht="12.75" customHeight="1">
      <c r="C695" s="1"/>
      <c r="F695" s="1"/>
      <c r="G695" s="1"/>
      <c r="L695" s="1"/>
    </row>
    <row r="696" ht="12.75" customHeight="1">
      <c r="C696" s="1"/>
      <c r="F696" s="1"/>
      <c r="G696" s="1"/>
      <c r="L696" s="1"/>
    </row>
    <row r="697" ht="12.75" customHeight="1">
      <c r="C697" s="1"/>
      <c r="F697" s="1"/>
      <c r="G697" s="1"/>
      <c r="L697" s="1"/>
    </row>
    <row r="698" ht="12.75" customHeight="1">
      <c r="C698" s="1"/>
      <c r="F698" s="1"/>
      <c r="G698" s="1"/>
      <c r="L698" s="1"/>
    </row>
    <row r="699" ht="12.75" customHeight="1">
      <c r="C699" s="1"/>
      <c r="F699" s="1"/>
      <c r="G699" s="1"/>
      <c r="L699" s="1"/>
    </row>
    <row r="700" ht="12.75" customHeight="1">
      <c r="C700" s="1"/>
      <c r="F700" s="1"/>
      <c r="G700" s="1"/>
      <c r="L700" s="1"/>
    </row>
    <row r="701" ht="12.75" customHeight="1">
      <c r="C701" s="1"/>
      <c r="F701" s="1"/>
      <c r="G701" s="1"/>
      <c r="L701" s="1"/>
    </row>
    <row r="702" ht="12.75" customHeight="1">
      <c r="C702" s="1"/>
      <c r="F702" s="1"/>
      <c r="G702" s="1"/>
      <c r="L702" s="1"/>
    </row>
    <row r="703" ht="12.75" customHeight="1">
      <c r="C703" s="1"/>
      <c r="F703" s="1"/>
      <c r="G703" s="1"/>
      <c r="L703" s="1"/>
    </row>
    <row r="704" ht="12.75" customHeight="1">
      <c r="C704" s="1"/>
      <c r="F704" s="1"/>
      <c r="G704" s="1"/>
      <c r="L704" s="1"/>
    </row>
    <row r="705" ht="12.75" customHeight="1">
      <c r="C705" s="1"/>
      <c r="F705" s="1"/>
      <c r="G705" s="1"/>
      <c r="L705" s="1"/>
    </row>
    <row r="706" ht="12.75" customHeight="1">
      <c r="C706" s="1"/>
      <c r="F706" s="1"/>
      <c r="G706" s="1"/>
      <c r="L706" s="1"/>
    </row>
    <row r="707" ht="12.75" customHeight="1">
      <c r="C707" s="1"/>
      <c r="F707" s="1"/>
      <c r="G707" s="1"/>
      <c r="L707" s="1"/>
    </row>
    <row r="708" ht="12.75" customHeight="1">
      <c r="C708" s="1"/>
      <c r="F708" s="1"/>
      <c r="G708" s="1"/>
      <c r="L708" s="1"/>
    </row>
    <row r="709" ht="12.75" customHeight="1">
      <c r="C709" s="1"/>
      <c r="F709" s="1"/>
      <c r="G709" s="1"/>
      <c r="L709" s="1"/>
    </row>
    <row r="710" ht="12.75" customHeight="1">
      <c r="C710" s="1"/>
      <c r="F710" s="1"/>
      <c r="G710" s="1"/>
      <c r="L710" s="1"/>
    </row>
    <row r="711" ht="12.75" customHeight="1">
      <c r="C711" s="1"/>
      <c r="F711" s="1"/>
      <c r="G711" s="1"/>
      <c r="L711" s="1"/>
    </row>
    <row r="712" ht="12.75" customHeight="1">
      <c r="C712" s="1"/>
      <c r="F712" s="1"/>
      <c r="G712" s="1"/>
      <c r="L712" s="1"/>
    </row>
    <row r="713" ht="12.75" customHeight="1">
      <c r="C713" s="1"/>
      <c r="F713" s="1"/>
      <c r="G713" s="1"/>
      <c r="L713" s="1"/>
    </row>
    <row r="714" ht="12.75" customHeight="1">
      <c r="C714" s="1"/>
      <c r="F714" s="1"/>
      <c r="G714" s="1"/>
      <c r="L714" s="1"/>
    </row>
    <row r="715" ht="12.75" customHeight="1">
      <c r="C715" s="1"/>
      <c r="F715" s="1"/>
      <c r="G715" s="1"/>
      <c r="L715" s="1"/>
    </row>
    <row r="716" ht="12.75" customHeight="1">
      <c r="C716" s="1"/>
      <c r="F716" s="1"/>
      <c r="G716" s="1"/>
      <c r="L716" s="1"/>
    </row>
    <row r="717" ht="12.75" customHeight="1">
      <c r="C717" s="1"/>
      <c r="F717" s="1"/>
      <c r="G717" s="1"/>
      <c r="L717" s="1"/>
    </row>
    <row r="718" ht="12.75" customHeight="1">
      <c r="C718" s="1"/>
      <c r="F718" s="1"/>
      <c r="G718" s="1"/>
      <c r="L718" s="1"/>
    </row>
    <row r="719" ht="12.75" customHeight="1">
      <c r="C719" s="1"/>
      <c r="F719" s="1"/>
      <c r="G719" s="1"/>
      <c r="L719" s="1"/>
    </row>
    <row r="720" ht="12.75" customHeight="1">
      <c r="C720" s="1"/>
      <c r="F720" s="1"/>
      <c r="G720" s="1"/>
      <c r="L720" s="1"/>
    </row>
    <row r="721" ht="12.75" customHeight="1">
      <c r="C721" s="1"/>
      <c r="F721" s="1"/>
      <c r="G721" s="1"/>
      <c r="L721" s="1"/>
    </row>
    <row r="722" ht="12.75" customHeight="1">
      <c r="C722" s="1"/>
      <c r="F722" s="1"/>
      <c r="G722" s="1"/>
      <c r="L722" s="1"/>
    </row>
    <row r="723" ht="12.75" customHeight="1">
      <c r="C723" s="1"/>
      <c r="F723" s="1"/>
      <c r="G723" s="1"/>
      <c r="L723" s="1"/>
    </row>
    <row r="724" ht="12.75" customHeight="1">
      <c r="C724" s="1"/>
      <c r="F724" s="1"/>
      <c r="G724" s="1"/>
      <c r="L724" s="1"/>
    </row>
    <row r="725" ht="12.75" customHeight="1">
      <c r="C725" s="1"/>
      <c r="F725" s="1"/>
      <c r="G725" s="1"/>
      <c r="L725" s="1"/>
    </row>
    <row r="726" ht="12.75" customHeight="1">
      <c r="C726" s="1"/>
      <c r="F726" s="1"/>
      <c r="G726" s="1"/>
      <c r="L726" s="1"/>
    </row>
    <row r="727" ht="12.75" customHeight="1">
      <c r="C727" s="1"/>
      <c r="F727" s="1"/>
      <c r="G727" s="1"/>
      <c r="L727" s="1"/>
    </row>
    <row r="728" ht="12.75" customHeight="1">
      <c r="C728" s="1"/>
      <c r="F728" s="1"/>
      <c r="G728" s="1"/>
      <c r="L728" s="1"/>
    </row>
    <row r="729" ht="12.75" customHeight="1">
      <c r="C729" s="1"/>
      <c r="F729" s="1"/>
      <c r="G729" s="1"/>
      <c r="L729" s="1"/>
    </row>
    <row r="730" ht="12.75" customHeight="1">
      <c r="C730" s="1"/>
      <c r="F730" s="1"/>
      <c r="G730" s="1"/>
      <c r="L730" s="1"/>
    </row>
    <row r="731" ht="12.75" customHeight="1">
      <c r="C731" s="1"/>
      <c r="F731" s="1"/>
      <c r="G731" s="1"/>
      <c r="L731" s="1"/>
    </row>
    <row r="732" ht="12.75" customHeight="1">
      <c r="C732" s="1"/>
      <c r="F732" s="1"/>
      <c r="G732" s="1"/>
      <c r="L732" s="1"/>
    </row>
    <row r="733" ht="12.75" customHeight="1">
      <c r="C733" s="1"/>
      <c r="F733" s="1"/>
      <c r="G733" s="1"/>
      <c r="L733" s="1"/>
    </row>
    <row r="734" ht="12.75" customHeight="1">
      <c r="C734" s="1"/>
      <c r="F734" s="1"/>
      <c r="G734" s="1"/>
      <c r="L734" s="1"/>
    </row>
    <row r="735" ht="12.75" customHeight="1">
      <c r="C735" s="1"/>
      <c r="F735" s="1"/>
      <c r="G735" s="1"/>
      <c r="L735" s="1"/>
    </row>
    <row r="736" ht="12.75" customHeight="1">
      <c r="C736" s="1"/>
      <c r="F736" s="1"/>
      <c r="G736" s="1"/>
      <c r="L736" s="1"/>
    </row>
    <row r="737" ht="12.75" customHeight="1">
      <c r="C737" s="1"/>
      <c r="F737" s="1"/>
      <c r="G737" s="1"/>
      <c r="L737" s="1"/>
    </row>
    <row r="738" ht="12.75" customHeight="1">
      <c r="C738" s="1"/>
      <c r="F738" s="1"/>
      <c r="G738" s="1"/>
      <c r="L738" s="1"/>
    </row>
    <row r="739" ht="12.75" customHeight="1">
      <c r="C739" s="1"/>
      <c r="F739" s="1"/>
      <c r="G739" s="1"/>
      <c r="L739" s="1"/>
    </row>
    <row r="740" ht="12.75" customHeight="1">
      <c r="C740" s="1"/>
      <c r="F740" s="1"/>
      <c r="G740" s="1"/>
      <c r="L740" s="1"/>
    </row>
    <row r="741" ht="12.75" customHeight="1">
      <c r="C741" s="1"/>
      <c r="F741" s="1"/>
      <c r="G741" s="1"/>
      <c r="L741" s="1"/>
    </row>
    <row r="742" ht="12.75" customHeight="1">
      <c r="C742" s="1"/>
      <c r="F742" s="1"/>
      <c r="G742" s="1"/>
      <c r="L742" s="1"/>
    </row>
    <row r="743" ht="12.75" customHeight="1">
      <c r="C743" s="1"/>
      <c r="F743" s="1"/>
      <c r="G743" s="1"/>
      <c r="L743" s="1"/>
    </row>
    <row r="744" ht="12.75" customHeight="1">
      <c r="C744" s="1"/>
      <c r="F744" s="1"/>
      <c r="G744" s="1"/>
      <c r="L744" s="1"/>
    </row>
    <row r="745" ht="12.75" customHeight="1">
      <c r="C745" s="1"/>
      <c r="F745" s="1"/>
      <c r="G745" s="1"/>
      <c r="L745" s="1"/>
    </row>
    <row r="746" ht="12.75" customHeight="1">
      <c r="C746" s="1"/>
      <c r="F746" s="1"/>
      <c r="G746" s="1"/>
      <c r="L746" s="1"/>
    </row>
    <row r="747" ht="12.75" customHeight="1">
      <c r="C747" s="1"/>
      <c r="F747" s="1"/>
      <c r="G747" s="1"/>
      <c r="L747" s="1"/>
    </row>
    <row r="748" ht="12.75" customHeight="1">
      <c r="C748" s="1"/>
      <c r="F748" s="1"/>
      <c r="G748" s="1"/>
      <c r="L748" s="1"/>
    </row>
    <row r="749" ht="12.75" customHeight="1">
      <c r="C749" s="1"/>
      <c r="F749" s="1"/>
      <c r="G749" s="1"/>
      <c r="L749" s="1"/>
    </row>
    <row r="750" ht="12.75" customHeight="1">
      <c r="C750" s="1"/>
      <c r="F750" s="1"/>
      <c r="G750" s="1"/>
      <c r="L750" s="1"/>
    </row>
    <row r="751" ht="12.75" customHeight="1">
      <c r="C751" s="1"/>
      <c r="F751" s="1"/>
      <c r="G751" s="1"/>
      <c r="L751" s="1"/>
    </row>
    <row r="752" ht="12.75" customHeight="1">
      <c r="C752" s="1"/>
      <c r="F752" s="1"/>
      <c r="G752" s="1"/>
      <c r="L752" s="1"/>
    </row>
    <row r="753" ht="12.75" customHeight="1">
      <c r="C753" s="1"/>
      <c r="F753" s="1"/>
      <c r="G753" s="1"/>
      <c r="L753" s="1"/>
    </row>
    <row r="754" ht="12.75" customHeight="1">
      <c r="C754" s="1"/>
      <c r="F754" s="1"/>
      <c r="G754" s="1"/>
      <c r="L754" s="1"/>
    </row>
    <row r="755" ht="12.75" customHeight="1">
      <c r="C755" s="1"/>
      <c r="F755" s="1"/>
      <c r="G755" s="1"/>
      <c r="L755" s="1"/>
    </row>
    <row r="756" ht="12.75" customHeight="1">
      <c r="C756" s="1"/>
      <c r="F756" s="1"/>
      <c r="G756" s="1"/>
      <c r="L756" s="1"/>
    </row>
    <row r="757" ht="12.75" customHeight="1">
      <c r="C757" s="1"/>
      <c r="F757" s="1"/>
      <c r="G757" s="1"/>
      <c r="L757" s="1"/>
    </row>
    <row r="758" ht="12.75" customHeight="1">
      <c r="C758" s="1"/>
      <c r="F758" s="1"/>
      <c r="G758" s="1"/>
      <c r="L758" s="1"/>
    </row>
    <row r="759" ht="12.75" customHeight="1">
      <c r="C759" s="1"/>
      <c r="F759" s="1"/>
      <c r="G759" s="1"/>
      <c r="L759" s="1"/>
    </row>
    <row r="760" ht="12.75" customHeight="1">
      <c r="C760" s="1"/>
      <c r="F760" s="1"/>
      <c r="G760" s="1"/>
      <c r="L760" s="1"/>
    </row>
    <row r="761" ht="12.75" customHeight="1">
      <c r="C761" s="1"/>
      <c r="F761" s="1"/>
      <c r="G761" s="1"/>
      <c r="L761" s="1"/>
    </row>
    <row r="762" ht="12.75" customHeight="1">
      <c r="C762" s="1"/>
      <c r="F762" s="1"/>
      <c r="G762" s="1"/>
      <c r="L762" s="1"/>
    </row>
    <row r="763" ht="12.75" customHeight="1">
      <c r="C763" s="1"/>
      <c r="F763" s="1"/>
      <c r="G763" s="1"/>
      <c r="L763" s="1"/>
    </row>
    <row r="764" ht="12.75" customHeight="1">
      <c r="C764" s="1"/>
      <c r="F764" s="1"/>
      <c r="G764" s="1"/>
      <c r="L764" s="1"/>
    </row>
    <row r="765" ht="12.75" customHeight="1">
      <c r="C765" s="1"/>
      <c r="F765" s="1"/>
      <c r="G765" s="1"/>
      <c r="L765" s="1"/>
    </row>
    <row r="766" ht="12.75" customHeight="1">
      <c r="C766" s="1"/>
      <c r="F766" s="1"/>
      <c r="G766" s="1"/>
      <c r="L766" s="1"/>
    </row>
    <row r="767" ht="12.75" customHeight="1">
      <c r="C767" s="1"/>
      <c r="F767" s="1"/>
      <c r="G767" s="1"/>
      <c r="L767" s="1"/>
    </row>
    <row r="768" ht="12.75" customHeight="1">
      <c r="C768" s="1"/>
      <c r="F768" s="1"/>
      <c r="G768" s="1"/>
      <c r="L768" s="1"/>
    </row>
    <row r="769" ht="12.75" customHeight="1">
      <c r="C769" s="1"/>
      <c r="F769" s="1"/>
      <c r="G769" s="1"/>
      <c r="L769" s="1"/>
    </row>
    <row r="770" ht="12.75" customHeight="1">
      <c r="C770" s="1"/>
      <c r="F770" s="1"/>
      <c r="G770" s="1"/>
      <c r="L770" s="1"/>
    </row>
    <row r="771" ht="12.75" customHeight="1">
      <c r="C771" s="1"/>
      <c r="F771" s="1"/>
      <c r="G771" s="1"/>
      <c r="L771" s="1"/>
    </row>
    <row r="772" ht="12.75" customHeight="1">
      <c r="C772" s="1"/>
      <c r="F772" s="1"/>
      <c r="G772" s="1"/>
      <c r="L772" s="1"/>
    </row>
    <row r="773" ht="12.75" customHeight="1">
      <c r="C773" s="1"/>
      <c r="F773" s="1"/>
      <c r="G773" s="1"/>
      <c r="L773" s="1"/>
    </row>
    <row r="774" ht="12.75" customHeight="1">
      <c r="C774" s="1"/>
      <c r="F774" s="1"/>
      <c r="G774" s="1"/>
      <c r="L774" s="1"/>
    </row>
    <row r="775" ht="12.75" customHeight="1">
      <c r="C775" s="1"/>
      <c r="F775" s="1"/>
      <c r="G775" s="1"/>
      <c r="L775" s="1"/>
    </row>
    <row r="776" ht="12.75" customHeight="1">
      <c r="C776" s="1"/>
      <c r="F776" s="1"/>
      <c r="G776" s="1"/>
      <c r="L776" s="1"/>
    </row>
    <row r="777" ht="12.75" customHeight="1">
      <c r="C777" s="1"/>
      <c r="F777" s="1"/>
      <c r="G777" s="1"/>
      <c r="L777" s="1"/>
    </row>
    <row r="778" ht="12.75" customHeight="1">
      <c r="C778" s="1"/>
      <c r="F778" s="1"/>
      <c r="G778" s="1"/>
      <c r="L778" s="1"/>
    </row>
    <row r="779" ht="12.75" customHeight="1">
      <c r="C779" s="1"/>
      <c r="F779" s="1"/>
      <c r="G779" s="1"/>
      <c r="L779" s="1"/>
    </row>
    <row r="780" ht="12.75" customHeight="1">
      <c r="C780" s="1"/>
      <c r="F780" s="1"/>
      <c r="G780" s="1"/>
      <c r="L780" s="1"/>
    </row>
    <row r="781" ht="12.75" customHeight="1">
      <c r="C781" s="1"/>
      <c r="F781" s="1"/>
      <c r="G781" s="1"/>
      <c r="L781" s="1"/>
    </row>
    <row r="782" ht="12.75" customHeight="1">
      <c r="C782" s="1"/>
      <c r="F782" s="1"/>
      <c r="G782" s="1"/>
      <c r="L782" s="1"/>
    </row>
    <row r="783" ht="12.75" customHeight="1">
      <c r="C783" s="1"/>
      <c r="F783" s="1"/>
      <c r="G783" s="1"/>
      <c r="L783" s="1"/>
    </row>
    <row r="784" ht="12.75" customHeight="1">
      <c r="C784" s="1"/>
      <c r="F784" s="1"/>
      <c r="G784" s="1"/>
      <c r="L784" s="1"/>
    </row>
    <row r="785" ht="12.75" customHeight="1">
      <c r="C785" s="1"/>
      <c r="F785" s="1"/>
      <c r="G785" s="1"/>
      <c r="L785" s="1"/>
    </row>
    <row r="786" ht="12.75" customHeight="1">
      <c r="C786" s="1"/>
      <c r="F786" s="1"/>
      <c r="G786" s="1"/>
      <c r="L786" s="1"/>
    </row>
    <row r="787" ht="12.75" customHeight="1">
      <c r="C787" s="1"/>
      <c r="F787" s="1"/>
      <c r="G787" s="1"/>
      <c r="L787" s="1"/>
    </row>
    <row r="788" ht="12.75" customHeight="1">
      <c r="C788" s="1"/>
      <c r="F788" s="1"/>
      <c r="G788" s="1"/>
      <c r="L788" s="1"/>
    </row>
    <row r="789" ht="12.75" customHeight="1">
      <c r="C789" s="1"/>
      <c r="F789" s="1"/>
      <c r="G789" s="1"/>
      <c r="L789" s="1"/>
    </row>
    <row r="790" ht="12.75" customHeight="1">
      <c r="C790" s="1"/>
      <c r="F790" s="1"/>
      <c r="G790" s="1"/>
      <c r="L790" s="1"/>
    </row>
    <row r="791" ht="12.75" customHeight="1">
      <c r="C791" s="1"/>
      <c r="F791" s="1"/>
      <c r="G791" s="1"/>
      <c r="L791" s="1"/>
    </row>
    <row r="792" ht="12.75" customHeight="1">
      <c r="C792" s="1"/>
      <c r="F792" s="1"/>
      <c r="G792" s="1"/>
      <c r="L792" s="1"/>
    </row>
    <row r="793" ht="12.75" customHeight="1">
      <c r="C793" s="1"/>
      <c r="F793" s="1"/>
      <c r="G793" s="1"/>
      <c r="L793" s="1"/>
    </row>
    <row r="794" ht="12.75" customHeight="1">
      <c r="C794" s="1"/>
      <c r="F794" s="1"/>
      <c r="G794" s="1"/>
      <c r="L794" s="1"/>
    </row>
    <row r="795" ht="12.75" customHeight="1">
      <c r="C795" s="1"/>
      <c r="F795" s="1"/>
      <c r="G795" s="1"/>
      <c r="L795" s="1"/>
    </row>
    <row r="796" ht="12.75" customHeight="1">
      <c r="C796" s="1"/>
      <c r="F796" s="1"/>
      <c r="G796" s="1"/>
      <c r="L796" s="1"/>
    </row>
    <row r="797" ht="12.75" customHeight="1">
      <c r="C797" s="1"/>
      <c r="F797" s="1"/>
      <c r="G797" s="1"/>
      <c r="L797" s="1"/>
    </row>
    <row r="798" ht="12.75" customHeight="1">
      <c r="C798" s="1"/>
      <c r="F798" s="1"/>
      <c r="G798" s="1"/>
      <c r="L798" s="1"/>
    </row>
    <row r="799" ht="12.75" customHeight="1">
      <c r="C799" s="1"/>
      <c r="F799" s="1"/>
      <c r="G799" s="1"/>
      <c r="L799" s="1"/>
    </row>
    <row r="800" ht="12.75" customHeight="1">
      <c r="C800" s="1"/>
      <c r="F800" s="1"/>
      <c r="G800" s="1"/>
      <c r="L800" s="1"/>
    </row>
    <row r="801" ht="12.75" customHeight="1">
      <c r="C801" s="1"/>
      <c r="F801" s="1"/>
      <c r="G801" s="1"/>
      <c r="L801" s="1"/>
    </row>
    <row r="802" ht="12.75" customHeight="1">
      <c r="C802" s="1"/>
      <c r="F802" s="1"/>
      <c r="G802" s="1"/>
      <c r="L802" s="1"/>
    </row>
    <row r="803" ht="12.75" customHeight="1">
      <c r="C803" s="1"/>
      <c r="F803" s="1"/>
      <c r="G803" s="1"/>
      <c r="L803" s="1"/>
    </row>
    <row r="804" ht="12.75" customHeight="1">
      <c r="C804" s="1"/>
      <c r="F804" s="1"/>
      <c r="G804" s="1"/>
      <c r="L804" s="1"/>
    </row>
    <row r="805" ht="12.75" customHeight="1">
      <c r="C805" s="1"/>
      <c r="F805" s="1"/>
      <c r="G805" s="1"/>
      <c r="L805" s="1"/>
    </row>
    <row r="806" ht="12.75" customHeight="1">
      <c r="C806" s="1"/>
      <c r="F806" s="1"/>
      <c r="G806" s="1"/>
      <c r="L806" s="1"/>
    </row>
    <row r="807" ht="12.75" customHeight="1">
      <c r="C807" s="1"/>
      <c r="F807" s="1"/>
      <c r="G807" s="1"/>
      <c r="L807" s="1"/>
    </row>
    <row r="808" ht="12.75" customHeight="1">
      <c r="C808" s="1"/>
      <c r="F808" s="1"/>
      <c r="G808" s="1"/>
      <c r="L808" s="1"/>
    </row>
    <row r="809" ht="12.75" customHeight="1">
      <c r="C809" s="1"/>
      <c r="F809" s="1"/>
      <c r="G809" s="1"/>
      <c r="L809" s="1"/>
    </row>
    <row r="810" ht="12.75" customHeight="1">
      <c r="C810" s="1"/>
      <c r="F810" s="1"/>
      <c r="G810" s="1"/>
      <c r="L810" s="1"/>
    </row>
    <row r="811" ht="12.75" customHeight="1">
      <c r="C811" s="1"/>
      <c r="F811" s="1"/>
      <c r="G811" s="1"/>
      <c r="L811" s="1"/>
    </row>
    <row r="812" ht="12.75" customHeight="1">
      <c r="C812" s="1"/>
      <c r="F812" s="1"/>
      <c r="G812" s="1"/>
      <c r="L812" s="1"/>
    </row>
    <row r="813" ht="12.75" customHeight="1">
      <c r="C813" s="1"/>
      <c r="F813" s="1"/>
      <c r="G813" s="1"/>
      <c r="L813" s="1"/>
    </row>
    <row r="814" ht="12.75" customHeight="1">
      <c r="C814" s="1"/>
      <c r="F814" s="1"/>
      <c r="G814" s="1"/>
      <c r="L814" s="1"/>
    </row>
    <row r="815" ht="12.75" customHeight="1">
      <c r="C815" s="1"/>
      <c r="F815" s="1"/>
      <c r="G815" s="1"/>
      <c r="L815" s="1"/>
    </row>
    <row r="816" ht="12.75" customHeight="1">
      <c r="C816" s="1"/>
      <c r="F816" s="1"/>
      <c r="G816" s="1"/>
      <c r="L816" s="1"/>
    </row>
    <row r="817" ht="12.75" customHeight="1">
      <c r="C817" s="1"/>
      <c r="F817" s="1"/>
      <c r="G817" s="1"/>
      <c r="L817" s="1"/>
    </row>
    <row r="818" ht="12.75" customHeight="1">
      <c r="C818" s="1"/>
      <c r="F818" s="1"/>
      <c r="G818" s="1"/>
      <c r="L818" s="1"/>
    </row>
    <row r="819" ht="12.75" customHeight="1">
      <c r="C819" s="1"/>
      <c r="F819" s="1"/>
      <c r="G819" s="1"/>
      <c r="L819" s="1"/>
    </row>
    <row r="820" ht="12.75" customHeight="1">
      <c r="C820" s="1"/>
      <c r="F820" s="1"/>
      <c r="G820" s="1"/>
      <c r="L820" s="1"/>
    </row>
    <row r="821" ht="12.75" customHeight="1">
      <c r="C821" s="1"/>
      <c r="F821" s="1"/>
      <c r="G821" s="1"/>
      <c r="L821" s="1"/>
    </row>
    <row r="822" ht="12.75" customHeight="1">
      <c r="C822" s="1"/>
      <c r="F822" s="1"/>
      <c r="G822" s="1"/>
      <c r="L822" s="1"/>
    </row>
    <row r="823" ht="12.75" customHeight="1">
      <c r="C823" s="1"/>
      <c r="F823" s="1"/>
      <c r="G823" s="1"/>
      <c r="L823" s="1"/>
    </row>
    <row r="824" ht="12.75" customHeight="1">
      <c r="C824" s="1"/>
      <c r="F824" s="1"/>
      <c r="G824" s="1"/>
      <c r="L824" s="1"/>
    </row>
    <row r="825" ht="12.75" customHeight="1">
      <c r="C825" s="1"/>
      <c r="F825" s="1"/>
      <c r="G825" s="1"/>
      <c r="L825" s="1"/>
    </row>
    <row r="826" ht="12.75" customHeight="1">
      <c r="C826" s="1"/>
      <c r="F826" s="1"/>
      <c r="G826" s="1"/>
      <c r="L826" s="1"/>
    </row>
    <row r="827" ht="12.75" customHeight="1">
      <c r="C827" s="1"/>
      <c r="F827" s="1"/>
      <c r="G827" s="1"/>
      <c r="L827" s="1"/>
    </row>
    <row r="828" ht="12.75" customHeight="1">
      <c r="C828" s="1"/>
      <c r="F828" s="1"/>
      <c r="G828" s="1"/>
      <c r="L828" s="1"/>
    </row>
    <row r="829" ht="12.75" customHeight="1">
      <c r="C829" s="1"/>
      <c r="F829" s="1"/>
      <c r="G829" s="1"/>
      <c r="L829" s="1"/>
    </row>
    <row r="830" ht="12.75" customHeight="1">
      <c r="C830" s="1"/>
      <c r="F830" s="1"/>
      <c r="G830" s="1"/>
      <c r="L830" s="1"/>
    </row>
    <row r="831" ht="12.75" customHeight="1">
      <c r="C831" s="1"/>
      <c r="F831" s="1"/>
      <c r="G831" s="1"/>
      <c r="L831" s="1"/>
    </row>
    <row r="832" ht="12.75" customHeight="1">
      <c r="C832" s="1"/>
      <c r="F832" s="1"/>
      <c r="G832" s="1"/>
      <c r="L832" s="1"/>
    </row>
    <row r="833" ht="12.75" customHeight="1">
      <c r="C833" s="1"/>
      <c r="F833" s="1"/>
      <c r="G833" s="1"/>
      <c r="L833" s="1"/>
    </row>
    <row r="834" ht="12.75" customHeight="1">
      <c r="C834" s="1"/>
      <c r="F834" s="1"/>
      <c r="G834" s="1"/>
      <c r="L834" s="1"/>
    </row>
    <row r="835" ht="12.75" customHeight="1">
      <c r="C835" s="1"/>
      <c r="F835" s="1"/>
      <c r="G835" s="1"/>
      <c r="L835" s="1"/>
    </row>
    <row r="836" ht="12.75" customHeight="1">
      <c r="C836" s="1"/>
      <c r="F836" s="1"/>
      <c r="G836" s="1"/>
      <c r="L836" s="1"/>
    </row>
    <row r="837" ht="12.75" customHeight="1">
      <c r="C837" s="1"/>
      <c r="F837" s="1"/>
      <c r="G837" s="1"/>
      <c r="L837" s="1"/>
    </row>
    <row r="838" ht="12.75" customHeight="1">
      <c r="C838" s="1"/>
      <c r="F838" s="1"/>
      <c r="G838" s="1"/>
      <c r="L838" s="1"/>
    </row>
    <row r="839" ht="12.75" customHeight="1">
      <c r="C839" s="1"/>
      <c r="F839" s="1"/>
      <c r="G839" s="1"/>
      <c r="L839" s="1"/>
    </row>
    <row r="840" ht="12.75" customHeight="1">
      <c r="C840" s="1"/>
      <c r="F840" s="1"/>
      <c r="G840" s="1"/>
      <c r="L840" s="1"/>
    </row>
    <row r="841" ht="12.75" customHeight="1">
      <c r="C841" s="1"/>
      <c r="F841" s="1"/>
      <c r="G841" s="1"/>
      <c r="L841" s="1"/>
    </row>
    <row r="842" ht="12.75" customHeight="1">
      <c r="C842" s="1"/>
      <c r="F842" s="1"/>
      <c r="G842" s="1"/>
      <c r="L842" s="1"/>
    </row>
    <row r="843" ht="12.75" customHeight="1">
      <c r="C843" s="1"/>
      <c r="F843" s="1"/>
      <c r="G843" s="1"/>
      <c r="L843" s="1"/>
    </row>
    <row r="844" ht="12.75" customHeight="1">
      <c r="C844" s="1"/>
      <c r="F844" s="1"/>
      <c r="G844" s="1"/>
      <c r="L844" s="1"/>
    </row>
    <row r="845" ht="12.75" customHeight="1">
      <c r="C845" s="1"/>
      <c r="F845" s="1"/>
      <c r="G845" s="1"/>
      <c r="L845" s="1"/>
    </row>
    <row r="846" ht="12.75" customHeight="1">
      <c r="C846" s="1"/>
      <c r="F846" s="1"/>
      <c r="G846" s="1"/>
      <c r="L846" s="1"/>
    </row>
    <row r="847" ht="12.75" customHeight="1">
      <c r="C847" s="1"/>
      <c r="F847" s="1"/>
      <c r="G847" s="1"/>
      <c r="L847" s="1"/>
    </row>
    <row r="848" ht="12.75" customHeight="1">
      <c r="C848" s="1"/>
      <c r="F848" s="1"/>
      <c r="G848" s="1"/>
      <c r="L848" s="1"/>
    </row>
    <row r="849" ht="12.75" customHeight="1">
      <c r="C849" s="1"/>
      <c r="F849" s="1"/>
      <c r="G849" s="1"/>
      <c r="L849" s="1"/>
    </row>
    <row r="850" ht="12.75" customHeight="1">
      <c r="C850" s="1"/>
      <c r="F850" s="1"/>
      <c r="G850" s="1"/>
      <c r="L850" s="1"/>
    </row>
    <row r="851" ht="12.75" customHeight="1">
      <c r="C851" s="1"/>
      <c r="F851" s="1"/>
      <c r="G851" s="1"/>
      <c r="L851" s="1"/>
    </row>
    <row r="852" ht="12.75" customHeight="1">
      <c r="C852" s="1"/>
      <c r="F852" s="1"/>
      <c r="G852" s="1"/>
      <c r="L852" s="1"/>
    </row>
    <row r="853" ht="12.75" customHeight="1">
      <c r="C853" s="1"/>
      <c r="F853" s="1"/>
      <c r="G853" s="1"/>
      <c r="L853" s="1"/>
    </row>
    <row r="854" ht="12.75" customHeight="1">
      <c r="C854" s="1"/>
      <c r="F854" s="1"/>
      <c r="G854" s="1"/>
      <c r="L854" s="1"/>
    </row>
    <row r="855" ht="12.75" customHeight="1">
      <c r="C855" s="1"/>
      <c r="F855" s="1"/>
      <c r="G855" s="1"/>
      <c r="L855" s="1"/>
    </row>
    <row r="856" ht="12.75" customHeight="1">
      <c r="C856" s="1"/>
      <c r="F856" s="1"/>
      <c r="G856" s="1"/>
      <c r="L856" s="1"/>
    </row>
    <row r="857" ht="12.75" customHeight="1">
      <c r="C857" s="1"/>
      <c r="F857" s="1"/>
      <c r="G857" s="1"/>
      <c r="L857" s="1"/>
    </row>
    <row r="858" ht="12.75" customHeight="1">
      <c r="C858" s="1"/>
      <c r="F858" s="1"/>
      <c r="G858" s="1"/>
      <c r="L858" s="1"/>
    </row>
    <row r="859" ht="12.75" customHeight="1">
      <c r="C859" s="1"/>
      <c r="F859" s="1"/>
      <c r="G859" s="1"/>
      <c r="L859" s="1"/>
    </row>
    <row r="860" ht="12.75" customHeight="1">
      <c r="C860" s="1"/>
      <c r="F860" s="1"/>
      <c r="G860" s="1"/>
      <c r="L860" s="1"/>
    </row>
    <row r="861" ht="12.75" customHeight="1">
      <c r="C861" s="1"/>
      <c r="F861" s="1"/>
      <c r="G861" s="1"/>
      <c r="L861" s="1"/>
    </row>
    <row r="862" ht="12.75" customHeight="1">
      <c r="C862" s="1"/>
      <c r="F862" s="1"/>
      <c r="G862" s="1"/>
      <c r="L862" s="1"/>
    </row>
    <row r="863" ht="12.75" customHeight="1">
      <c r="C863" s="1"/>
      <c r="F863" s="1"/>
      <c r="G863" s="1"/>
      <c r="L863" s="1"/>
    </row>
    <row r="864" ht="12.75" customHeight="1">
      <c r="C864" s="1"/>
      <c r="F864" s="1"/>
      <c r="G864" s="1"/>
      <c r="L864" s="1"/>
    </row>
    <row r="865" ht="12.75" customHeight="1">
      <c r="C865" s="1"/>
      <c r="F865" s="1"/>
      <c r="G865" s="1"/>
      <c r="L865" s="1"/>
    </row>
    <row r="866" ht="12.75" customHeight="1">
      <c r="C866" s="1"/>
      <c r="F866" s="1"/>
      <c r="G866" s="1"/>
      <c r="L866" s="1"/>
    </row>
    <row r="867" ht="12.75" customHeight="1">
      <c r="C867" s="1"/>
      <c r="F867" s="1"/>
      <c r="G867" s="1"/>
      <c r="L867" s="1"/>
    </row>
    <row r="868" ht="12.75" customHeight="1">
      <c r="C868" s="1"/>
      <c r="F868" s="1"/>
      <c r="G868" s="1"/>
      <c r="L868" s="1"/>
    </row>
    <row r="869" ht="12.75" customHeight="1">
      <c r="C869" s="1"/>
      <c r="F869" s="1"/>
      <c r="G869" s="1"/>
      <c r="L869" s="1"/>
    </row>
    <row r="870" ht="12.75" customHeight="1">
      <c r="C870" s="1"/>
      <c r="F870" s="1"/>
      <c r="G870" s="1"/>
      <c r="L870" s="1"/>
    </row>
    <row r="871" ht="12.75" customHeight="1">
      <c r="C871" s="1"/>
      <c r="F871" s="1"/>
      <c r="G871" s="1"/>
      <c r="L871" s="1"/>
    </row>
    <row r="872" ht="12.75" customHeight="1">
      <c r="C872" s="1"/>
      <c r="F872" s="1"/>
      <c r="G872" s="1"/>
      <c r="L872" s="1"/>
    </row>
    <row r="873" ht="12.75" customHeight="1">
      <c r="C873" s="1"/>
      <c r="F873" s="1"/>
      <c r="G873" s="1"/>
      <c r="L873" s="1"/>
    </row>
    <row r="874" ht="12.75" customHeight="1">
      <c r="C874" s="1"/>
      <c r="F874" s="1"/>
      <c r="G874" s="1"/>
      <c r="L874" s="1"/>
    </row>
    <row r="875" ht="12.75" customHeight="1">
      <c r="C875" s="1"/>
      <c r="F875" s="1"/>
      <c r="G875" s="1"/>
      <c r="L875" s="1"/>
    </row>
    <row r="876" ht="12.75" customHeight="1">
      <c r="C876" s="1"/>
      <c r="F876" s="1"/>
      <c r="G876" s="1"/>
      <c r="L876" s="1"/>
    </row>
    <row r="877" ht="12.75" customHeight="1">
      <c r="C877" s="1"/>
      <c r="F877" s="1"/>
      <c r="G877" s="1"/>
      <c r="L877" s="1"/>
    </row>
    <row r="878" ht="12.75" customHeight="1">
      <c r="C878" s="1"/>
      <c r="F878" s="1"/>
      <c r="G878" s="1"/>
      <c r="L878" s="1"/>
    </row>
    <row r="879" ht="12.75" customHeight="1">
      <c r="C879" s="1"/>
      <c r="F879" s="1"/>
      <c r="G879" s="1"/>
      <c r="L879" s="1"/>
    </row>
    <row r="880" ht="12.75" customHeight="1">
      <c r="C880" s="1"/>
      <c r="F880" s="1"/>
      <c r="G880" s="1"/>
      <c r="L880" s="1"/>
    </row>
    <row r="881" ht="12.75" customHeight="1">
      <c r="C881" s="1"/>
      <c r="F881" s="1"/>
      <c r="G881" s="1"/>
      <c r="L881" s="1"/>
    </row>
    <row r="882" ht="12.75" customHeight="1">
      <c r="C882" s="1"/>
      <c r="F882" s="1"/>
      <c r="G882" s="1"/>
      <c r="L882" s="1"/>
    </row>
    <row r="883" ht="12.75" customHeight="1">
      <c r="C883" s="1"/>
      <c r="F883" s="1"/>
      <c r="G883" s="1"/>
      <c r="L883" s="1"/>
    </row>
    <row r="884" ht="12.75" customHeight="1">
      <c r="C884" s="1"/>
      <c r="F884" s="1"/>
      <c r="G884" s="1"/>
      <c r="L884" s="1"/>
    </row>
    <row r="885" ht="12.75" customHeight="1">
      <c r="C885" s="1"/>
      <c r="F885" s="1"/>
      <c r="G885" s="1"/>
      <c r="L885" s="1"/>
    </row>
    <row r="886" ht="12.75" customHeight="1">
      <c r="C886" s="1"/>
      <c r="F886" s="1"/>
      <c r="G886" s="1"/>
      <c r="L886" s="1"/>
    </row>
    <row r="887" ht="12.75" customHeight="1">
      <c r="C887" s="1"/>
      <c r="F887" s="1"/>
      <c r="G887" s="1"/>
      <c r="L887" s="1"/>
    </row>
    <row r="888" ht="12.75" customHeight="1">
      <c r="C888" s="1"/>
      <c r="F888" s="1"/>
      <c r="G888" s="1"/>
      <c r="L888" s="1"/>
    </row>
    <row r="889" ht="12.75" customHeight="1">
      <c r="C889" s="1"/>
      <c r="F889" s="1"/>
      <c r="G889" s="1"/>
      <c r="L889" s="1"/>
    </row>
    <row r="890" ht="12.75" customHeight="1">
      <c r="C890" s="1"/>
      <c r="F890" s="1"/>
      <c r="G890" s="1"/>
      <c r="L890" s="1"/>
    </row>
    <row r="891" ht="12.75" customHeight="1">
      <c r="C891" s="1"/>
      <c r="F891" s="1"/>
      <c r="G891" s="1"/>
      <c r="L891" s="1"/>
    </row>
    <row r="892" ht="12.75" customHeight="1">
      <c r="C892" s="1"/>
      <c r="F892" s="1"/>
      <c r="G892" s="1"/>
      <c r="L892" s="1"/>
    </row>
    <row r="893" ht="12.75" customHeight="1">
      <c r="C893" s="1"/>
      <c r="F893" s="1"/>
      <c r="G893" s="1"/>
      <c r="L893" s="1"/>
    </row>
    <row r="894" ht="12.75" customHeight="1">
      <c r="C894" s="1"/>
      <c r="F894" s="1"/>
      <c r="G894" s="1"/>
      <c r="L894" s="1"/>
    </row>
    <row r="895" ht="12.75" customHeight="1">
      <c r="C895" s="1"/>
      <c r="F895" s="1"/>
      <c r="G895" s="1"/>
      <c r="L895" s="1"/>
    </row>
    <row r="896" ht="12.75" customHeight="1">
      <c r="C896" s="1"/>
      <c r="F896" s="1"/>
      <c r="G896" s="1"/>
      <c r="L896" s="1"/>
    </row>
    <row r="897" ht="12.75" customHeight="1">
      <c r="C897" s="1"/>
      <c r="F897" s="1"/>
      <c r="G897" s="1"/>
      <c r="L897" s="1"/>
    </row>
    <row r="898" ht="12.75" customHeight="1">
      <c r="C898" s="1"/>
      <c r="F898" s="1"/>
      <c r="G898" s="1"/>
      <c r="L898" s="1"/>
    </row>
    <row r="899" ht="12.75" customHeight="1">
      <c r="C899" s="1"/>
      <c r="F899" s="1"/>
      <c r="G899" s="1"/>
      <c r="L899" s="1"/>
    </row>
    <row r="900" ht="12.75" customHeight="1">
      <c r="C900" s="1"/>
      <c r="F900" s="1"/>
      <c r="G900" s="1"/>
      <c r="L900" s="1"/>
    </row>
    <row r="901" ht="12.75" customHeight="1">
      <c r="C901" s="1"/>
      <c r="F901" s="1"/>
      <c r="G901" s="1"/>
      <c r="L901" s="1"/>
    </row>
    <row r="902" ht="12.75" customHeight="1">
      <c r="C902" s="1"/>
      <c r="F902" s="1"/>
      <c r="G902" s="1"/>
      <c r="L902" s="1"/>
    </row>
    <row r="903" ht="12.75" customHeight="1">
      <c r="C903" s="1"/>
      <c r="F903" s="1"/>
      <c r="G903" s="1"/>
      <c r="L903" s="1"/>
    </row>
    <row r="904" ht="12.75" customHeight="1">
      <c r="C904" s="1"/>
      <c r="F904" s="1"/>
      <c r="G904" s="1"/>
      <c r="L904" s="1"/>
    </row>
    <row r="905" ht="12.75" customHeight="1">
      <c r="C905" s="1"/>
      <c r="F905" s="1"/>
      <c r="G905" s="1"/>
      <c r="L905" s="1"/>
    </row>
    <row r="906" ht="12.75" customHeight="1">
      <c r="C906" s="1"/>
      <c r="F906" s="1"/>
      <c r="G906" s="1"/>
      <c r="L906" s="1"/>
    </row>
    <row r="907" ht="12.75" customHeight="1">
      <c r="C907" s="1"/>
      <c r="F907" s="1"/>
      <c r="G907" s="1"/>
      <c r="L907" s="1"/>
    </row>
    <row r="908" ht="12.75" customHeight="1">
      <c r="C908" s="1"/>
      <c r="F908" s="1"/>
      <c r="G908" s="1"/>
      <c r="L908" s="1"/>
    </row>
    <row r="909" ht="12.75" customHeight="1">
      <c r="C909" s="1"/>
      <c r="F909" s="1"/>
      <c r="G909" s="1"/>
      <c r="L909" s="1"/>
    </row>
    <row r="910" ht="12.75" customHeight="1">
      <c r="C910" s="1"/>
      <c r="F910" s="1"/>
      <c r="G910" s="1"/>
      <c r="L910" s="1"/>
    </row>
    <row r="911" ht="12.75" customHeight="1">
      <c r="C911" s="1"/>
      <c r="F911" s="1"/>
      <c r="G911" s="1"/>
      <c r="L911" s="1"/>
    </row>
    <row r="912" ht="12.75" customHeight="1">
      <c r="C912" s="1"/>
      <c r="F912" s="1"/>
      <c r="G912" s="1"/>
      <c r="L912" s="1"/>
    </row>
    <row r="913" ht="12.75" customHeight="1">
      <c r="C913" s="1"/>
      <c r="F913" s="1"/>
      <c r="G913" s="1"/>
      <c r="L913" s="1"/>
    </row>
    <row r="914" ht="12.75" customHeight="1">
      <c r="C914" s="1"/>
      <c r="F914" s="1"/>
      <c r="G914" s="1"/>
      <c r="L914" s="1"/>
    </row>
    <row r="915" ht="12.75" customHeight="1">
      <c r="C915" s="1"/>
      <c r="F915" s="1"/>
      <c r="G915" s="1"/>
      <c r="L915" s="1"/>
    </row>
    <row r="916" ht="12.75" customHeight="1">
      <c r="C916" s="1"/>
      <c r="F916" s="1"/>
      <c r="G916" s="1"/>
      <c r="L916" s="1"/>
    </row>
    <row r="917" ht="12.75" customHeight="1">
      <c r="C917" s="1"/>
      <c r="F917" s="1"/>
      <c r="G917" s="1"/>
      <c r="L917" s="1"/>
    </row>
    <row r="918" ht="12.75" customHeight="1">
      <c r="C918" s="1"/>
      <c r="F918" s="1"/>
      <c r="G918" s="1"/>
      <c r="L918" s="1"/>
    </row>
    <row r="919" ht="12.75" customHeight="1">
      <c r="C919" s="1"/>
      <c r="F919" s="1"/>
      <c r="G919" s="1"/>
      <c r="L919" s="1"/>
    </row>
    <row r="920" ht="12.75" customHeight="1">
      <c r="C920" s="1"/>
      <c r="F920" s="1"/>
      <c r="G920" s="1"/>
      <c r="L920" s="1"/>
    </row>
    <row r="921" ht="12.75" customHeight="1">
      <c r="C921" s="1"/>
      <c r="F921" s="1"/>
      <c r="G921" s="1"/>
      <c r="L921" s="1"/>
    </row>
    <row r="922" ht="12.75" customHeight="1">
      <c r="C922" s="1"/>
      <c r="F922" s="1"/>
      <c r="G922" s="1"/>
      <c r="L922" s="1"/>
    </row>
    <row r="923" ht="12.75" customHeight="1">
      <c r="C923" s="1"/>
      <c r="F923" s="1"/>
      <c r="G923" s="1"/>
      <c r="L923" s="1"/>
    </row>
    <row r="924" ht="12.75" customHeight="1">
      <c r="C924" s="1"/>
      <c r="F924" s="1"/>
      <c r="G924" s="1"/>
      <c r="L924" s="1"/>
    </row>
    <row r="925" ht="12.75" customHeight="1">
      <c r="C925" s="1"/>
      <c r="F925" s="1"/>
      <c r="G925" s="1"/>
      <c r="L925" s="1"/>
    </row>
    <row r="926" ht="12.75" customHeight="1">
      <c r="C926" s="1"/>
      <c r="F926" s="1"/>
      <c r="G926" s="1"/>
      <c r="L926" s="1"/>
    </row>
    <row r="927" ht="12.75" customHeight="1">
      <c r="C927" s="1"/>
      <c r="F927" s="1"/>
      <c r="G927" s="1"/>
      <c r="L927" s="1"/>
    </row>
    <row r="928" ht="12.75" customHeight="1">
      <c r="C928" s="1"/>
      <c r="F928" s="1"/>
      <c r="G928" s="1"/>
      <c r="L928" s="1"/>
    </row>
    <row r="929" ht="12.75" customHeight="1">
      <c r="C929" s="1"/>
      <c r="F929" s="1"/>
      <c r="G929" s="1"/>
      <c r="L929" s="1"/>
    </row>
    <row r="930" ht="12.75" customHeight="1">
      <c r="C930" s="1"/>
      <c r="F930" s="1"/>
      <c r="G930" s="1"/>
      <c r="L930" s="1"/>
    </row>
    <row r="931" ht="12.75" customHeight="1">
      <c r="C931" s="1"/>
      <c r="F931" s="1"/>
      <c r="G931" s="1"/>
      <c r="L931" s="1"/>
    </row>
    <row r="932" ht="12.75" customHeight="1">
      <c r="C932" s="1"/>
      <c r="F932" s="1"/>
      <c r="G932" s="1"/>
      <c r="L932" s="1"/>
    </row>
    <row r="933" ht="12.75" customHeight="1">
      <c r="C933" s="1"/>
      <c r="F933" s="1"/>
      <c r="G933" s="1"/>
      <c r="L933" s="1"/>
    </row>
    <row r="934" ht="12.75" customHeight="1">
      <c r="C934" s="1"/>
      <c r="F934" s="1"/>
      <c r="G934" s="1"/>
      <c r="L934" s="1"/>
    </row>
    <row r="935" ht="12.75" customHeight="1">
      <c r="C935" s="1"/>
      <c r="F935" s="1"/>
      <c r="G935" s="1"/>
      <c r="L935" s="1"/>
    </row>
    <row r="936" ht="12.75" customHeight="1">
      <c r="C936" s="1"/>
      <c r="F936" s="1"/>
      <c r="G936" s="1"/>
      <c r="L936" s="1"/>
    </row>
    <row r="937" ht="12.75" customHeight="1">
      <c r="C937" s="1"/>
      <c r="F937" s="1"/>
      <c r="G937" s="1"/>
      <c r="L937" s="1"/>
    </row>
    <row r="938" ht="12.75" customHeight="1">
      <c r="C938" s="1"/>
      <c r="F938" s="1"/>
      <c r="G938" s="1"/>
      <c r="L938" s="1"/>
    </row>
    <row r="939" ht="12.75" customHeight="1">
      <c r="C939" s="1"/>
      <c r="F939" s="1"/>
      <c r="G939" s="1"/>
      <c r="L939" s="1"/>
    </row>
    <row r="940" ht="12.75" customHeight="1">
      <c r="C940" s="1"/>
      <c r="F940" s="1"/>
      <c r="G940" s="1"/>
      <c r="L940" s="1"/>
    </row>
    <row r="941" ht="12.75" customHeight="1">
      <c r="C941" s="1"/>
      <c r="F941" s="1"/>
      <c r="G941" s="1"/>
      <c r="L941" s="1"/>
    </row>
    <row r="942" ht="12.75" customHeight="1">
      <c r="C942" s="1"/>
      <c r="F942" s="1"/>
      <c r="G942" s="1"/>
      <c r="L942" s="1"/>
    </row>
    <row r="943" ht="12.75" customHeight="1">
      <c r="C943" s="1"/>
      <c r="F943" s="1"/>
      <c r="G943" s="1"/>
      <c r="L943" s="1"/>
    </row>
    <row r="944" ht="12.75" customHeight="1">
      <c r="C944" s="1"/>
      <c r="F944" s="1"/>
      <c r="G944" s="1"/>
      <c r="L944" s="1"/>
    </row>
    <row r="945" ht="12.75" customHeight="1">
      <c r="C945" s="1"/>
      <c r="F945" s="1"/>
      <c r="G945" s="1"/>
      <c r="L945" s="1"/>
    </row>
    <row r="946" ht="12.75" customHeight="1">
      <c r="C946" s="1"/>
      <c r="F946" s="1"/>
      <c r="G946" s="1"/>
      <c r="L946" s="1"/>
    </row>
    <row r="947" ht="12.75" customHeight="1">
      <c r="C947" s="1"/>
      <c r="F947" s="1"/>
      <c r="G947" s="1"/>
      <c r="L947" s="1"/>
    </row>
    <row r="948" ht="12.75" customHeight="1">
      <c r="C948" s="1"/>
      <c r="F948" s="1"/>
      <c r="G948" s="1"/>
      <c r="L948" s="1"/>
    </row>
    <row r="949" ht="12.75" customHeight="1">
      <c r="C949" s="1"/>
      <c r="F949" s="1"/>
      <c r="G949" s="1"/>
      <c r="L949" s="1"/>
    </row>
    <row r="950" ht="12.75" customHeight="1">
      <c r="C950" s="1"/>
      <c r="F950" s="1"/>
      <c r="G950" s="1"/>
      <c r="L950" s="1"/>
    </row>
    <row r="951" ht="12.75" customHeight="1">
      <c r="C951" s="1"/>
      <c r="F951" s="1"/>
      <c r="G951" s="1"/>
      <c r="L951" s="1"/>
    </row>
    <row r="952" ht="12.75" customHeight="1">
      <c r="C952" s="1"/>
      <c r="F952" s="1"/>
      <c r="G952" s="1"/>
      <c r="L952" s="1"/>
    </row>
    <row r="953" ht="12.75" customHeight="1">
      <c r="C953" s="1"/>
      <c r="F953" s="1"/>
      <c r="G953" s="1"/>
      <c r="L953" s="1"/>
    </row>
    <row r="954" ht="12.75" customHeight="1">
      <c r="C954" s="1"/>
      <c r="F954" s="1"/>
      <c r="G954" s="1"/>
      <c r="L954" s="1"/>
    </row>
    <row r="955" ht="12.75" customHeight="1">
      <c r="C955" s="1"/>
      <c r="F955" s="1"/>
      <c r="G955" s="1"/>
      <c r="L955" s="1"/>
    </row>
    <row r="956" ht="12.75" customHeight="1">
      <c r="C956" s="1"/>
      <c r="F956" s="1"/>
      <c r="G956" s="1"/>
      <c r="L956" s="1"/>
    </row>
    <row r="957" ht="12.75" customHeight="1">
      <c r="C957" s="1"/>
      <c r="F957" s="1"/>
      <c r="G957" s="1"/>
      <c r="L957" s="1"/>
    </row>
    <row r="958" ht="12.75" customHeight="1">
      <c r="C958" s="1"/>
      <c r="F958" s="1"/>
      <c r="G958" s="1"/>
      <c r="L958" s="1"/>
    </row>
    <row r="959" ht="12.75" customHeight="1">
      <c r="C959" s="1"/>
      <c r="F959" s="1"/>
      <c r="G959" s="1"/>
      <c r="L959" s="1"/>
    </row>
    <row r="960" ht="12.75" customHeight="1">
      <c r="C960" s="1"/>
      <c r="F960" s="1"/>
      <c r="G960" s="1"/>
      <c r="L960" s="1"/>
    </row>
    <row r="961" ht="12.75" customHeight="1">
      <c r="C961" s="1"/>
      <c r="F961" s="1"/>
      <c r="G961" s="1"/>
      <c r="L961" s="1"/>
    </row>
    <row r="962" ht="12.75" customHeight="1">
      <c r="C962" s="1"/>
      <c r="F962" s="1"/>
      <c r="G962" s="1"/>
      <c r="L962" s="1"/>
    </row>
    <row r="963" ht="12.75" customHeight="1">
      <c r="C963" s="1"/>
      <c r="F963" s="1"/>
      <c r="G963" s="1"/>
      <c r="L963" s="1"/>
    </row>
    <row r="964" ht="12.75" customHeight="1">
      <c r="C964" s="1"/>
      <c r="F964" s="1"/>
      <c r="G964" s="1"/>
      <c r="L964" s="1"/>
    </row>
    <row r="965" ht="12.75" customHeight="1">
      <c r="C965" s="1"/>
      <c r="F965" s="1"/>
      <c r="G965" s="1"/>
      <c r="L965" s="1"/>
    </row>
    <row r="966" ht="12.75" customHeight="1">
      <c r="C966" s="1"/>
      <c r="F966" s="1"/>
      <c r="G966" s="1"/>
      <c r="L966" s="1"/>
    </row>
    <row r="967" ht="12.75" customHeight="1">
      <c r="C967" s="1"/>
      <c r="F967" s="1"/>
      <c r="G967" s="1"/>
      <c r="L967" s="1"/>
    </row>
    <row r="968" ht="12.75" customHeight="1">
      <c r="C968" s="1"/>
      <c r="F968" s="1"/>
      <c r="G968" s="1"/>
      <c r="L968" s="1"/>
    </row>
    <row r="969" ht="12.75" customHeight="1">
      <c r="C969" s="1"/>
      <c r="F969" s="1"/>
      <c r="G969" s="1"/>
      <c r="L969" s="1"/>
    </row>
    <row r="970" ht="12.75" customHeight="1">
      <c r="C970" s="1"/>
      <c r="F970" s="1"/>
      <c r="G970" s="1"/>
      <c r="L970" s="1"/>
    </row>
    <row r="971" ht="12.75" customHeight="1">
      <c r="C971" s="1"/>
      <c r="F971" s="1"/>
      <c r="G971" s="1"/>
      <c r="L971" s="1"/>
    </row>
    <row r="972" ht="12.75" customHeight="1">
      <c r="C972" s="1"/>
      <c r="F972" s="1"/>
      <c r="G972" s="1"/>
      <c r="L972" s="1"/>
    </row>
    <row r="973" ht="12.75" customHeight="1">
      <c r="C973" s="1"/>
      <c r="F973" s="1"/>
      <c r="G973" s="1"/>
      <c r="L973" s="1"/>
    </row>
    <row r="974" ht="12.75" customHeight="1">
      <c r="C974" s="1"/>
      <c r="F974" s="1"/>
      <c r="G974" s="1"/>
      <c r="L974" s="1"/>
    </row>
    <row r="975" ht="12.75" customHeight="1">
      <c r="C975" s="1"/>
      <c r="F975" s="1"/>
      <c r="G975" s="1"/>
      <c r="L975" s="1"/>
    </row>
    <row r="976" ht="12.75" customHeight="1">
      <c r="C976" s="1"/>
      <c r="F976" s="1"/>
      <c r="G976" s="1"/>
      <c r="L976" s="1"/>
    </row>
    <row r="977" ht="12.75" customHeight="1">
      <c r="C977" s="1"/>
      <c r="F977" s="1"/>
      <c r="G977" s="1"/>
      <c r="L977" s="1"/>
    </row>
    <row r="978" ht="12.75" customHeight="1">
      <c r="C978" s="1"/>
      <c r="F978" s="1"/>
      <c r="G978" s="1"/>
      <c r="L978" s="1"/>
    </row>
    <row r="979" ht="12.75" customHeight="1">
      <c r="C979" s="1"/>
      <c r="F979" s="1"/>
      <c r="G979" s="1"/>
      <c r="L979" s="1"/>
    </row>
    <row r="980" ht="12.75" customHeight="1">
      <c r="C980" s="1"/>
      <c r="F980" s="1"/>
      <c r="G980" s="1"/>
      <c r="L980" s="1"/>
    </row>
    <row r="981" ht="12.75" customHeight="1">
      <c r="C981" s="1"/>
      <c r="F981" s="1"/>
      <c r="G981" s="1"/>
      <c r="L981" s="1"/>
    </row>
    <row r="982" ht="12.75" customHeight="1">
      <c r="C982" s="1"/>
      <c r="F982" s="1"/>
      <c r="G982" s="1"/>
      <c r="L982" s="1"/>
    </row>
    <row r="983" ht="12.75" customHeight="1">
      <c r="C983" s="1"/>
      <c r="F983" s="1"/>
      <c r="G983" s="1"/>
      <c r="L983" s="1"/>
    </row>
    <row r="984" ht="12.75" customHeight="1">
      <c r="C984" s="1"/>
      <c r="F984" s="1"/>
      <c r="G984" s="1"/>
      <c r="L984" s="1"/>
    </row>
  </sheetData>
  <autoFilter ref="$C$4:$Q$25">
    <sortState ref="C4:Q25">
      <sortCondition ref="C4:C25"/>
      <sortCondition descending="1" ref="E4:E25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8.0"/>
    <col customWidth="1" min="2" max="2" width="14.88"/>
    <col customWidth="1" min="3" max="3" width="12.75"/>
    <col customWidth="1" min="4" max="5" width="11.88"/>
    <col customWidth="1" min="6" max="6" width="12.25"/>
    <col customWidth="1" min="7" max="7" width="11.88"/>
    <col customWidth="1" min="8" max="8" width="12.13"/>
    <col customWidth="1" min="9" max="9" width="11.88"/>
    <col customWidth="1" min="10" max="10" width="11.75"/>
    <col customWidth="1" min="11" max="12" width="9.25"/>
    <col customWidth="1" min="13" max="13" width="9.75"/>
    <col customWidth="1" min="14" max="14" width="11.25"/>
    <col customWidth="1" min="15" max="19" width="23.38"/>
    <col customWidth="1" min="20" max="27" width="7.63"/>
  </cols>
  <sheetData>
    <row r="1" ht="12.75" customHeight="1">
      <c r="C1" s="1"/>
      <c r="D1" s="1"/>
      <c r="E1" s="1"/>
      <c r="F1" s="1"/>
      <c r="G1" s="1"/>
      <c r="H1" s="1"/>
      <c r="I1" s="1"/>
      <c r="J1" s="1"/>
      <c r="K1" s="1"/>
      <c r="L1" s="1"/>
      <c r="M1" s="111"/>
      <c r="N1" s="1"/>
      <c r="O1" s="1"/>
      <c r="P1" s="1"/>
      <c r="Q1" s="1"/>
      <c r="R1" s="1"/>
      <c r="S1" s="1"/>
    </row>
    <row r="2" ht="12.75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11"/>
      <c r="N2" s="1"/>
      <c r="O2" s="1"/>
      <c r="P2" s="1"/>
      <c r="Q2" s="1"/>
      <c r="R2" s="1"/>
      <c r="S2" s="1"/>
    </row>
    <row r="3" ht="13.5" customHeight="1">
      <c r="B3" s="112" t="s">
        <v>169</v>
      </c>
      <c r="M3" s="111"/>
    </row>
    <row r="4" ht="12.75" customHeight="1">
      <c r="A4" s="113" t="s">
        <v>34</v>
      </c>
      <c r="B4" s="114" t="s">
        <v>170</v>
      </c>
      <c r="C4" s="114" t="s">
        <v>171</v>
      </c>
      <c r="D4" s="114" t="s">
        <v>172</v>
      </c>
      <c r="E4" s="114" t="s">
        <v>173</v>
      </c>
      <c r="F4" s="114" t="s">
        <v>174</v>
      </c>
      <c r="G4" s="114" t="s">
        <v>175</v>
      </c>
      <c r="H4" s="114" t="s">
        <v>176</v>
      </c>
      <c r="I4" s="114" t="s">
        <v>177</v>
      </c>
      <c r="J4" s="114" t="s">
        <v>178</v>
      </c>
      <c r="K4" s="114" t="s">
        <v>141</v>
      </c>
      <c r="M4" s="1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A5" s="102" t="s">
        <v>5</v>
      </c>
      <c r="B5" s="115">
        <f>sum('cálculo'!AA$7:AA$24)</f>
        <v>8.5</v>
      </c>
      <c r="C5" s="115">
        <f>sum('cálculo'!AA$25:AA$42)</f>
        <v>8.5</v>
      </c>
      <c r="D5" s="115">
        <f>sum('cálculo'!AA$43:AA$60)</f>
        <v>11.9</v>
      </c>
      <c r="E5" s="115">
        <f>sum('cálculo'!AA$61:AA$78)</f>
        <v>5.95</v>
      </c>
      <c r="F5" s="115">
        <f>sum('cálculo'!AA$79:AA$96)</f>
        <v>8.5</v>
      </c>
      <c r="G5" s="115">
        <f>sum('cálculo'!AA$97:AA$114)</f>
        <v>9.35</v>
      </c>
      <c r="H5" s="115">
        <f>sum('cálculo'!AA$115:AA$132)</f>
        <v>10.2</v>
      </c>
      <c r="I5" s="115">
        <f>sum('cálculo'!AA$133:AA$150)</f>
        <v>7.65</v>
      </c>
      <c r="J5" s="115">
        <f>sum('cálculo'!AA$151:AA$158)</f>
        <v>21</v>
      </c>
      <c r="K5" s="115">
        <f t="shared" ref="K5:K25" si="1">SUM(B5:J5)</f>
        <v>91.55</v>
      </c>
      <c r="M5" s="111"/>
      <c r="N5" s="116"/>
      <c r="O5" s="1"/>
      <c r="P5" s="1"/>
      <c r="Q5" s="1"/>
      <c r="R5" s="1"/>
      <c r="S5" s="1"/>
    </row>
    <row r="6" ht="12.75" customHeight="1">
      <c r="A6" s="102" t="s">
        <v>11</v>
      </c>
      <c r="B6" s="115">
        <f>sum('cálculo'!AG$7:AG$24)</f>
        <v>7.65</v>
      </c>
      <c r="C6" s="115">
        <f>sum('cálculo'!AG$25:AG$42)</f>
        <v>11.05</v>
      </c>
      <c r="D6" s="115">
        <f>sum('cálculo'!AG$43:AG$60)</f>
        <v>9.35</v>
      </c>
      <c r="E6" s="115">
        <f>sum('cálculo'!AG$61:AG$78)</f>
        <v>7.65</v>
      </c>
      <c r="F6" s="115">
        <f>sum('cálculo'!AG$79:AG$96)</f>
        <v>9.35</v>
      </c>
      <c r="G6" s="115">
        <f>sum('cálculo'!AG$97:AG$114)</f>
        <v>6.8</v>
      </c>
      <c r="H6" s="115">
        <f>sum('cálculo'!AG$115:AG$132)</f>
        <v>6.8</v>
      </c>
      <c r="I6" s="115">
        <f>sum('cálculo'!AG$133:AG$150)</f>
        <v>8.5</v>
      </c>
      <c r="J6" s="115">
        <f>sum('cálculo'!AG$151:AG$158)</f>
        <v>21</v>
      </c>
      <c r="K6" s="115">
        <f t="shared" si="1"/>
        <v>88.15</v>
      </c>
      <c r="M6" s="111"/>
      <c r="N6" s="116"/>
      <c r="O6" s="1"/>
      <c r="P6" s="1"/>
      <c r="Q6" s="1"/>
      <c r="R6" s="1"/>
    </row>
    <row r="7" ht="12.75" customHeight="1">
      <c r="A7" s="102" t="s">
        <v>10</v>
      </c>
      <c r="B7" s="115">
        <f>sum('cálculo'!AF$7:AF$24)</f>
        <v>6.8</v>
      </c>
      <c r="C7" s="115">
        <f>sum('cálculo'!AF$25:AF$42)</f>
        <v>9.35</v>
      </c>
      <c r="D7" s="115">
        <f>sum('cálculo'!AF$43:AF$60)</f>
        <v>10.2</v>
      </c>
      <c r="E7" s="115">
        <f>sum('cálculo'!AF$61:AF$78)</f>
        <v>6.8</v>
      </c>
      <c r="F7" s="115">
        <f>sum('cálculo'!AF$79:AF$96)</f>
        <v>10.2</v>
      </c>
      <c r="G7" s="115">
        <f>sum('cálculo'!AF$97:AF$114)</f>
        <v>7.65</v>
      </c>
      <c r="H7" s="115">
        <f>sum('cálculo'!AF$115:AF$132)</f>
        <v>11.05</v>
      </c>
      <c r="I7" s="115">
        <f>sum('cálculo'!AF$133:AF$150)</f>
        <v>6.8</v>
      </c>
      <c r="J7" s="115">
        <f>sum('cálculo'!AF$151:AF$158)</f>
        <v>21</v>
      </c>
      <c r="K7" s="115">
        <f t="shared" si="1"/>
        <v>89.85</v>
      </c>
      <c r="M7" s="111"/>
      <c r="N7" s="116"/>
      <c r="O7" s="1"/>
      <c r="P7" s="1"/>
      <c r="Q7" s="1"/>
      <c r="R7" s="1"/>
      <c r="S7" s="1"/>
    </row>
    <row r="8" ht="12.75" customHeight="1">
      <c r="A8" s="102" t="s">
        <v>12</v>
      </c>
      <c r="B8" s="115">
        <f>sum('cálculo'!AH$7:AH$24)</f>
        <v>5.95</v>
      </c>
      <c r="C8" s="115">
        <f>sum('cálculo'!AH$25:AH$42)</f>
        <v>8.5</v>
      </c>
      <c r="D8" s="115">
        <f>sum('cálculo'!AH$43:AH$60)</f>
        <v>11.9</v>
      </c>
      <c r="E8" s="115">
        <f>sum('cálculo'!AH$61:AH$78)</f>
        <v>7.65</v>
      </c>
      <c r="F8" s="115">
        <f>sum('cálculo'!AH$79:AH$96)</f>
        <v>7.65</v>
      </c>
      <c r="G8" s="115">
        <f>sum('cálculo'!AH$97:AH$114)</f>
        <v>9.35</v>
      </c>
      <c r="H8" s="115">
        <f>sum('cálculo'!AH$115:AH$132)</f>
        <v>8.5</v>
      </c>
      <c r="I8" s="115">
        <f>sum('cálculo'!AH$133:AH$150)</f>
        <v>7.65</v>
      </c>
      <c r="J8" s="115">
        <f>sum('cálculo'!AH$151:AH$158)</f>
        <v>21</v>
      </c>
      <c r="K8" s="115">
        <f t="shared" si="1"/>
        <v>88.15</v>
      </c>
      <c r="M8" s="111"/>
      <c r="N8" s="116"/>
      <c r="O8" s="1"/>
      <c r="P8" s="1"/>
      <c r="Q8" s="1"/>
      <c r="R8" s="1"/>
      <c r="S8" s="1"/>
    </row>
    <row r="9" ht="12.75" customHeight="1">
      <c r="A9" s="102" t="s">
        <v>16</v>
      </c>
      <c r="B9" s="115">
        <f>sum('cálculo'!AL$7:AL$24)</f>
        <v>6.8</v>
      </c>
      <c r="C9" s="115">
        <f>sum('cálculo'!AL$25:AL$42)</f>
        <v>9.35</v>
      </c>
      <c r="D9" s="115">
        <f>sum('cálculo'!AL$43:AL$60)</f>
        <v>9.35</v>
      </c>
      <c r="E9" s="115">
        <f>sum('cálculo'!AL$61:AL$78)</f>
        <v>7.65</v>
      </c>
      <c r="F9" s="115">
        <f>sum('cálculo'!AL$79:AL$96)</f>
        <v>5.95</v>
      </c>
      <c r="G9" s="115">
        <f>sum('cálculo'!AL$97:AL$114)</f>
        <v>10.2</v>
      </c>
      <c r="H9" s="115">
        <f>sum('cálculo'!AL$115:AL$132)</f>
        <v>8.5</v>
      </c>
      <c r="I9" s="115">
        <f>sum('cálculo'!AL$133:AL$150)</f>
        <v>7.65</v>
      </c>
      <c r="J9" s="115">
        <f>sum('cálculo'!AL$151:AL$158)</f>
        <v>27.2</v>
      </c>
      <c r="K9" s="115">
        <f t="shared" si="1"/>
        <v>92.65</v>
      </c>
      <c r="M9" s="111"/>
      <c r="N9" s="116"/>
      <c r="O9" s="1"/>
      <c r="P9" s="1"/>
      <c r="Q9" s="1"/>
      <c r="R9" s="1"/>
      <c r="S9" s="1"/>
    </row>
    <row r="10" ht="12.75" customHeight="1">
      <c r="A10" s="102" t="s">
        <v>19</v>
      </c>
      <c r="B10" s="115">
        <f>sum('cálculo'!AO$7:AO$24)</f>
        <v>6.8</v>
      </c>
      <c r="C10" s="115">
        <f>sum('cálculo'!AO$25:AO$42)</f>
        <v>9.35</v>
      </c>
      <c r="D10" s="115">
        <f>sum('cálculo'!AO$43:AO$60)</f>
        <v>8.5</v>
      </c>
      <c r="E10" s="115">
        <f>sum('cálculo'!AO$61:AO$78)</f>
        <v>5.95</v>
      </c>
      <c r="F10" s="115">
        <f>sum('cálculo'!AO$79:AO$96)</f>
        <v>6.8</v>
      </c>
      <c r="G10" s="115">
        <f>sum('cálculo'!AO$97:AO$114)</f>
        <v>5.95</v>
      </c>
      <c r="H10" s="115">
        <f>sum('cálculo'!AO$115:AO$132)</f>
        <v>9.35</v>
      </c>
      <c r="I10" s="115">
        <f>sum('cálculo'!AO$133:AO$150)</f>
        <v>6.8</v>
      </c>
      <c r="J10" s="115">
        <f>sum('cálculo'!AO$151:AO$158)</f>
        <v>25</v>
      </c>
      <c r="K10" s="115">
        <f t="shared" si="1"/>
        <v>84.5</v>
      </c>
      <c r="M10" s="111"/>
      <c r="N10" s="116"/>
      <c r="O10" s="1"/>
      <c r="P10" s="1"/>
      <c r="Q10" s="1"/>
      <c r="R10" s="1"/>
      <c r="S10" s="1"/>
    </row>
    <row r="11" ht="12.75" customHeight="1">
      <c r="A11" s="102" t="s">
        <v>17</v>
      </c>
      <c r="B11" s="115">
        <f>sum('cálculo'!AM$7:AM$24)</f>
        <v>10.2</v>
      </c>
      <c r="C11" s="115">
        <f>sum('cálculo'!AM$25:AM$42)</f>
        <v>11.9</v>
      </c>
      <c r="D11" s="115">
        <f>sum('cálculo'!AM$43:AM$60)</f>
        <v>11.05</v>
      </c>
      <c r="E11" s="115">
        <f>sum('cálculo'!AM$61:AM$78)</f>
        <v>6.8</v>
      </c>
      <c r="F11" s="115">
        <f>sum('cálculo'!AM$79:AM$96)</f>
        <v>8.5</v>
      </c>
      <c r="G11" s="115">
        <f>sum('cálculo'!AM$97:AM$114)</f>
        <v>5.95</v>
      </c>
      <c r="H11" s="115">
        <f>sum('cálculo'!AM$115:AM$132)</f>
        <v>7.65</v>
      </c>
      <c r="I11" s="115">
        <f>sum('cálculo'!AM$133:AM$150)</f>
        <v>7.65</v>
      </c>
      <c r="J11" s="115">
        <f>sum('cálculo'!AM$151:AM$158)</f>
        <v>31.2</v>
      </c>
      <c r="K11" s="115">
        <f t="shared" si="1"/>
        <v>100.9</v>
      </c>
      <c r="M11" s="111"/>
      <c r="N11" s="116"/>
    </row>
    <row r="12" ht="12.75" customHeight="1">
      <c r="A12" s="102" t="s">
        <v>13</v>
      </c>
      <c r="B12" s="115">
        <f>sum('cálculo'!AI$7:AI$24)</f>
        <v>10.2</v>
      </c>
      <c r="C12" s="115">
        <f>sum('cálculo'!AI$25:AI$42)</f>
        <v>10.2</v>
      </c>
      <c r="D12" s="115">
        <f>sum('cálculo'!AI$43:AI$60)</f>
        <v>11.9</v>
      </c>
      <c r="E12" s="115">
        <f>sum('cálculo'!AI$61:AI$78)</f>
        <v>7.65</v>
      </c>
      <c r="F12" s="115">
        <f>sum('cálculo'!AI$79:AI$96)</f>
        <v>6.8</v>
      </c>
      <c r="G12" s="115">
        <f>sum('cálculo'!AI$97:AI$114)</f>
        <v>11.05</v>
      </c>
      <c r="H12" s="115">
        <f>sum('cálculo'!AI$115:AI$132)</f>
        <v>9.35</v>
      </c>
      <c r="I12" s="115">
        <f>sum('cálculo'!AI$133:AI$150)</f>
        <v>9.35</v>
      </c>
      <c r="J12" s="115">
        <f>sum('cálculo'!AI$151:AI$158)</f>
        <v>25.2</v>
      </c>
      <c r="K12" s="115">
        <f t="shared" si="1"/>
        <v>101.7</v>
      </c>
      <c r="M12" s="111"/>
      <c r="N12" s="116"/>
    </row>
    <row r="13" ht="12.75" customHeight="1">
      <c r="A13" s="105" t="s">
        <v>20</v>
      </c>
      <c r="B13" s="115">
        <f>sum('cálculo'!AP$7:AP$24)</f>
        <v>6.8</v>
      </c>
      <c r="C13" s="115">
        <f>sum('cálculo'!AP$25:AP$42)</f>
        <v>10.2</v>
      </c>
      <c r="D13" s="115">
        <f>sum('cálculo'!AP$43:AP$60)</f>
        <v>11.05</v>
      </c>
      <c r="E13" s="115">
        <f>sum('cálculo'!AP$61:AP$78)</f>
        <v>7.65</v>
      </c>
      <c r="F13" s="115">
        <f>sum('cálculo'!AP$79:AP$96)</f>
        <v>6.8</v>
      </c>
      <c r="G13" s="115">
        <f>sum('cálculo'!AP$97:AP$114)</f>
        <v>5.95</v>
      </c>
      <c r="H13" s="115">
        <f>sum('cálculo'!AP$115:AP$132)</f>
        <v>6.8</v>
      </c>
      <c r="I13" s="115">
        <f>sum('cálculo'!AP$133:AP$150)</f>
        <v>7.65</v>
      </c>
      <c r="J13" s="115">
        <f>sum('cálculo'!AP$151:AP$158)</f>
        <v>16.8</v>
      </c>
      <c r="K13" s="115">
        <f t="shared" si="1"/>
        <v>79.7</v>
      </c>
      <c r="M13" s="111"/>
      <c r="N13" s="116"/>
      <c r="O13" s="1"/>
      <c r="P13" s="1"/>
      <c r="Q13" s="1"/>
      <c r="R13" s="1"/>
      <c r="S13" s="1"/>
    </row>
    <row r="14" ht="12.75" customHeight="1">
      <c r="A14" s="102" t="s">
        <v>2</v>
      </c>
      <c r="B14" s="115">
        <f>sum('cálculo'!X$7:X$24)</f>
        <v>9.35</v>
      </c>
      <c r="C14" s="115">
        <f>sum('cálculo'!X$25:X$42)</f>
        <v>9.35</v>
      </c>
      <c r="D14" s="115">
        <f>sum('cálculo'!X$43:X$60)</f>
        <v>11.05</v>
      </c>
      <c r="E14" s="115">
        <f>sum('cálculo'!X$61:X$78)</f>
        <v>6.8</v>
      </c>
      <c r="F14" s="115">
        <f>sum('cálculo'!X$79:X$96)</f>
        <v>8.5</v>
      </c>
      <c r="G14" s="115">
        <f>sum('cálculo'!X$97:X$114)</f>
        <v>7.65</v>
      </c>
      <c r="H14" s="115">
        <f>sum('cálculo'!X$115:X$132)</f>
        <v>7.65</v>
      </c>
      <c r="I14" s="115">
        <f>sum('cálculo'!X$133:X$150)</f>
        <v>5.95</v>
      </c>
      <c r="J14" s="115">
        <f>sum('cálculo'!X$151:X$158)</f>
        <v>16.8</v>
      </c>
      <c r="K14" s="115">
        <f t="shared" si="1"/>
        <v>83.1</v>
      </c>
      <c r="M14" s="111"/>
      <c r="N14" s="116"/>
    </row>
    <row r="15" ht="12.75" customHeight="1">
      <c r="A15" s="102" t="s">
        <v>3</v>
      </c>
      <c r="B15" s="115">
        <f>sum('cálculo'!Y$7:Y$24)</f>
        <v>8.5</v>
      </c>
      <c r="C15" s="115">
        <f>sum('cálculo'!Y$25:Y$42)</f>
        <v>10.2</v>
      </c>
      <c r="D15" s="115">
        <f>sum('cálculo'!Y$43:Y$60)</f>
        <v>11.05</v>
      </c>
      <c r="E15" s="115">
        <f>sum('cálculo'!Y$61:Y$78)</f>
        <v>7.65</v>
      </c>
      <c r="F15" s="115">
        <f>sum('cálculo'!Y$79:Y$96)</f>
        <v>9.35</v>
      </c>
      <c r="G15" s="115">
        <f>sum('cálculo'!Y$97:Y$114)</f>
        <v>8.5</v>
      </c>
      <c r="H15" s="115">
        <f>sum('cálculo'!Y$115:Y$132)</f>
        <v>6.8</v>
      </c>
      <c r="I15" s="115">
        <f>sum('cálculo'!Y$133:Y$150)</f>
        <v>5.95</v>
      </c>
      <c r="J15" s="115">
        <f>sum('cálculo'!Y$151:Y$158)</f>
        <v>23</v>
      </c>
      <c r="K15" s="115">
        <f t="shared" si="1"/>
        <v>91</v>
      </c>
      <c r="M15" s="111"/>
      <c r="N15" s="116"/>
    </row>
    <row r="16" ht="12.75" customHeight="1">
      <c r="A16" s="102" t="s">
        <v>9</v>
      </c>
      <c r="B16" s="115">
        <f>sum('cálculo'!AE$7:AE$24)</f>
        <v>8.5</v>
      </c>
      <c r="C16" s="115">
        <f>sum('cálculo'!AE$25:AE$42)</f>
        <v>9.35</v>
      </c>
      <c r="D16" s="115">
        <f>sum('cálculo'!AE$43:AE$60)</f>
        <v>11.9</v>
      </c>
      <c r="E16" s="115">
        <f>sum('cálculo'!AE$61:AE$78)</f>
        <v>7.65</v>
      </c>
      <c r="F16" s="115">
        <f>sum('cálculo'!AE$79:AE$96)</f>
        <v>6.8</v>
      </c>
      <c r="G16" s="115">
        <f>sum('cálculo'!AE$97:AE$114)</f>
        <v>10.2</v>
      </c>
      <c r="H16" s="115">
        <f>sum('cálculo'!AE$115:AE$132)</f>
        <v>6.8</v>
      </c>
      <c r="I16" s="115">
        <f>sum('cálculo'!AE$133:AE$150)</f>
        <v>6.8</v>
      </c>
      <c r="J16" s="115">
        <f>sum('cálculo'!AE$151:AE$158)</f>
        <v>23</v>
      </c>
      <c r="K16" s="115">
        <f t="shared" si="1"/>
        <v>91</v>
      </c>
      <c r="M16" s="111"/>
      <c r="N16" s="116"/>
      <c r="O16" s="1"/>
      <c r="P16" s="1"/>
      <c r="Q16" s="1"/>
      <c r="R16" s="1"/>
      <c r="S16" s="1"/>
    </row>
    <row r="17" ht="12.75" customHeight="1">
      <c r="A17" s="105" t="s">
        <v>21</v>
      </c>
      <c r="B17" s="115">
        <f>sum('cálculo'!AQ$7:AQ$24)</f>
        <v>9.35</v>
      </c>
      <c r="C17" s="115">
        <f>sum('cálculo'!AQ$25:AQ$42)</f>
        <v>7.65</v>
      </c>
      <c r="D17" s="115">
        <f>sum('cálculo'!AQ$43:AQ$60)</f>
        <v>9.35</v>
      </c>
      <c r="E17" s="115">
        <f>sum('cálculo'!AQ$61:AQ$78)</f>
        <v>7.65</v>
      </c>
      <c r="F17" s="115">
        <f>sum('cálculo'!AQ$79:AQ$96)</f>
        <v>9.35</v>
      </c>
      <c r="G17" s="115">
        <f>sum('cálculo'!AQ$97:AQ$114)</f>
        <v>8.5</v>
      </c>
      <c r="H17" s="115">
        <f>sum('cálculo'!AQ$115:AQ$132)</f>
        <v>8.5</v>
      </c>
      <c r="I17" s="115">
        <f>sum('cálculo'!AQ$133:AQ$150)</f>
        <v>8.5</v>
      </c>
      <c r="J17" s="115">
        <f>sum('cálculo'!AQ$151:AQ$158)</f>
        <v>21</v>
      </c>
      <c r="K17" s="115">
        <f t="shared" si="1"/>
        <v>89.85</v>
      </c>
      <c r="M17" s="111"/>
      <c r="N17" s="116"/>
    </row>
    <row r="18" ht="12.75" customHeight="1">
      <c r="A18" s="102" t="s">
        <v>18</v>
      </c>
      <c r="B18" s="115">
        <f>sum('cálculo'!AN$7:AN$24)</f>
        <v>10.2</v>
      </c>
      <c r="C18" s="115">
        <f>sum('cálculo'!AN$25:AN$42)</f>
        <v>9.35</v>
      </c>
      <c r="D18" s="115">
        <f>sum('cálculo'!AN$43:AN$60)</f>
        <v>10.2</v>
      </c>
      <c r="E18" s="115">
        <f>sum('cálculo'!AN$61:AN$78)</f>
        <v>5.95</v>
      </c>
      <c r="F18" s="115">
        <f>sum('cálculo'!AN$79:AN$96)</f>
        <v>8.5</v>
      </c>
      <c r="G18" s="115">
        <f>sum('cálculo'!AN$97:AN$114)</f>
        <v>6.8</v>
      </c>
      <c r="H18" s="115">
        <f>sum('cálculo'!AN$115:AN$132)</f>
        <v>7.65</v>
      </c>
      <c r="I18" s="115">
        <f>sum('cálculo'!AN$133:AN$150)</f>
        <v>5.95</v>
      </c>
      <c r="J18" s="115">
        <f>sum('cálculo'!AN$151:AN$158)</f>
        <v>23</v>
      </c>
      <c r="K18" s="115">
        <f t="shared" si="1"/>
        <v>87.6</v>
      </c>
      <c r="M18" s="111"/>
      <c r="N18" s="116"/>
      <c r="O18" s="1"/>
      <c r="P18" s="1"/>
      <c r="Q18" s="1"/>
      <c r="R18" s="1"/>
      <c r="S18" s="1"/>
    </row>
    <row r="19" ht="12.75" customHeight="1">
      <c r="A19" s="102" t="s">
        <v>8</v>
      </c>
      <c r="B19" s="115">
        <f>sum('cálculo'!AD$7:AD$24)</f>
        <v>8.5</v>
      </c>
      <c r="C19" s="115">
        <f>sum('cálculo'!AD$25:AD$42)</f>
        <v>9.35</v>
      </c>
      <c r="D19" s="115">
        <f>sum('cálculo'!AD$43:AD$60)</f>
        <v>11.9</v>
      </c>
      <c r="E19" s="115">
        <f>sum('cálculo'!AD$61:AD$78)</f>
        <v>7.65</v>
      </c>
      <c r="F19" s="115">
        <f>sum('cálculo'!AD$79:AD$96)</f>
        <v>10.2</v>
      </c>
      <c r="G19" s="115">
        <f>sum('cálculo'!AD$97:AD$114)</f>
        <v>7.65</v>
      </c>
      <c r="H19" s="115">
        <f>sum('cálculo'!AD$115:AD$132)</f>
        <v>6.8</v>
      </c>
      <c r="I19" s="115">
        <f>sum('cálculo'!AD$133:AD$150)</f>
        <v>7.65</v>
      </c>
      <c r="J19" s="115">
        <f>sum('cálculo'!AD$151:AD$158)</f>
        <v>18.8</v>
      </c>
      <c r="K19" s="115">
        <f t="shared" si="1"/>
        <v>88.5</v>
      </c>
      <c r="L19" s="1"/>
      <c r="M19" s="111"/>
      <c r="N19" s="1"/>
      <c r="O19" s="1"/>
      <c r="P19" s="1"/>
      <c r="Q19" s="1"/>
      <c r="R19" s="1"/>
      <c r="S19" s="1"/>
    </row>
    <row r="20" ht="12.75" customHeight="1">
      <c r="A20" s="102" t="s">
        <v>6</v>
      </c>
      <c r="B20" s="115">
        <f>sum('cálculo'!AB$7:AB$24)</f>
        <v>9.35</v>
      </c>
      <c r="C20" s="115">
        <f>sum('cálculo'!AB$25:AB$42)</f>
        <v>9.35</v>
      </c>
      <c r="D20" s="115">
        <f>sum('cálculo'!AB$43:AB$60)</f>
        <v>11.9</v>
      </c>
      <c r="E20" s="115">
        <f>sum('cálculo'!AB$61:AB$78)</f>
        <v>6.8</v>
      </c>
      <c r="F20" s="115">
        <f>sum('cálculo'!AB$79:AB$96)</f>
        <v>8.5</v>
      </c>
      <c r="G20" s="115">
        <f>sum('cálculo'!AB$97:AB$114)</f>
        <v>8.5</v>
      </c>
      <c r="H20" s="115">
        <f>sum('cálculo'!AB$115:AB$132)</f>
        <v>7.65</v>
      </c>
      <c r="I20" s="115">
        <f>sum('cálculo'!AB$133:AB$150)</f>
        <v>5.95</v>
      </c>
      <c r="J20" s="115">
        <f>sum('cálculo'!AB$151:AB$158)</f>
        <v>23</v>
      </c>
      <c r="K20" s="115">
        <f t="shared" si="1"/>
        <v>91</v>
      </c>
      <c r="M20" s="111"/>
      <c r="N20" s="116"/>
      <c r="O20" s="1"/>
      <c r="P20" s="1"/>
      <c r="Q20" s="1"/>
      <c r="R20" s="1"/>
      <c r="S20" s="1"/>
    </row>
    <row r="21" ht="12.75" customHeight="1">
      <c r="A21" s="102" t="s">
        <v>7</v>
      </c>
      <c r="B21" s="115">
        <f>sum('cálculo'!AC$7:AC$24)</f>
        <v>8.5</v>
      </c>
      <c r="C21" s="115">
        <f>sum('cálculo'!AC$25:AC$42)</f>
        <v>9.35</v>
      </c>
      <c r="D21" s="115">
        <f>sum('cálculo'!AC$43:AC$60)</f>
        <v>11.05</v>
      </c>
      <c r="E21" s="115">
        <f>sum('cálculo'!AC$61:AC$78)</f>
        <v>5.95</v>
      </c>
      <c r="F21" s="115">
        <f>sum('cálculo'!AC$79:AC$96)</f>
        <v>7.65</v>
      </c>
      <c r="G21" s="115">
        <f>sum('cálculo'!AC$97:AC$114)</f>
        <v>8.5</v>
      </c>
      <c r="H21" s="115">
        <f>sum('cálculo'!AC$115:AC$132)</f>
        <v>8.5</v>
      </c>
      <c r="I21" s="115">
        <f>sum('cálculo'!AC$133:AC$150)</f>
        <v>8.5</v>
      </c>
      <c r="J21" s="115">
        <f>sum('cálculo'!AC$151:AC$158)</f>
        <v>21</v>
      </c>
      <c r="K21" s="115">
        <f t="shared" si="1"/>
        <v>89</v>
      </c>
      <c r="M21" s="111"/>
      <c r="N21" s="116"/>
    </row>
    <row r="22" ht="12.75" customHeight="1">
      <c r="A22" s="102" t="s">
        <v>14</v>
      </c>
      <c r="B22" s="115">
        <f>sum('cálculo'!AJ$7:AJ$24)</f>
        <v>9.35</v>
      </c>
      <c r="C22" s="115">
        <f>sum('cálculo'!AJ$25:AJ$42)</f>
        <v>9.35</v>
      </c>
      <c r="D22" s="115">
        <f>sum('cálculo'!AJ$43:AJ$60)</f>
        <v>12.75</v>
      </c>
      <c r="E22" s="115">
        <f>sum('cálculo'!AJ$61:AJ$78)</f>
        <v>6.8</v>
      </c>
      <c r="F22" s="115">
        <f>sum('cálculo'!AJ$79:AJ$96)</f>
        <v>5.95</v>
      </c>
      <c r="G22" s="115">
        <f>sum('cálculo'!AJ$97:AJ$114)</f>
        <v>5.1</v>
      </c>
      <c r="H22" s="115">
        <f>sum('cálculo'!AJ$115:AJ$132)</f>
        <v>8.5</v>
      </c>
      <c r="I22" s="115">
        <f>sum('cálculo'!AJ$133:AJ$150)</f>
        <v>6.8</v>
      </c>
      <c r="J22" s="115">
        <f>sum('cálculo'!AJ$151:AJ$158)</f>
        <v>25.2</v>
      </c>
      <c r="K22" s="115">
        <f t="shared" si="1"/>
        <v>89.8</v>
      </c>
      <c r="M22" s="111"/>
      <c r="N22" s="116"/>
      <c r="O22" s="1"/>
      <c r="P22" s="1"/>
      <c r="Q22" s="1"/>
      <c r="R22" s="1"/>
      <c r="S22" s="1"/>
    </row>
    <row r="23" ht="12.75" customHeight="1">
      <c r="A23" s="102" t="s">
        <v>4</v>
      </c>
      <c r="B23" s="115">
        <f>sum('cálculo'!Z$7:Z$24)</f>
        <v>9.35</v>
      </c>
      <c r="C23" s="115">
        <f>sum('cálculo'!Z$25:Z$42)</f>
        <v>8.5</v>
      </c>
      <c r="D23" s="115">
        <f>sum('cálculo'!Z$43:Z$60)</f>
        <v>11.9</v>
      </c>
      <c r="E23" s="115">
        <f>sum('cálculo'!Z$61:Z$78)</f>
        <v>6.8</v>
      </c>
      <c r="F23" s="115">
        <f>sum('cálculo'!Z$79:Z$96)</f>
        <v>7.65</v>
      </c>
      <c r="G23" s="115">
        <f>sum('cálculo'!Z$97:Z$114)</f>
        <v>11.05</v>
      </c>
      <c r="H23" s="115">
        <f>sum('cálculo'!Z$115:Z$132)</f>
        <v>8.5</v>
      </c>
      <c r="I23" s="115">
        <f>sum('cálculo'!Z$133:Z$150)</f>
        <v>7.65</v>
      </c>
      <c r="J23" s="115">
        <f>sum('cálculo'!Z$151:Z$158)</f>
        <v>27.2</v>
      </c>
      <c r="K23" s="115">
        <f t="shared" si="1"/>
        <v>98.6</v>
      </c>
      <c r="M23" s="111"/>
      <c r="N23" s="116"/>
      <c r="O23" s="1"/>
      <c r="P23" s="1"/>
      <c r="Q23" s="1"/>
      <c r="R23" s="1"/>
      <c r="S23" s="1"/>
    </row>
    <row r="24" ht="12.75" customHeight="1">
      <c r="A24" s="102" t="s">
        <v>15</v>
      </c>
      <c r="B24" s="115">
        <f>sum('cálculo'!AK$7:AK$24)</f>
        <v>6.8</v>
      </c>
      <c r="C24" s="115">
        <f>sum('cálculo'!AK$25:AK$42)</f>
        <v>10.2</v>
      </c>
      <c r="D24" s="115">
        <f>sum('cálculo'!AK$43:AK$60)</f>
        <v>11.05</v>
      </c>
      <c r="E24" s="115">
        <f>sum('cálculo'!AK$61:AK$78)</f>
        <v>6.8</v>
      </c>
      <c r="F24" s="115">
        <f>sum('cálculo'!AK$79:AK$96)</f>
        <v>6.8</v>
      </c>
      <c r="G24" s="115">
        <f>sum('cálculo'!AK$97:AK$114)</f>
        <v>7.65</v>
      </c>
      <c r="H24" s="115">
        <f>sum('cálculo'!AK$115:AK$132)</f>
        <v>8.5</v>
      </c>
      <c r="I24" s="115">
        <f>sum('cálculo'!AK$133:AK$150)</f>
        <v>7.65</v>
      </c>
      <c r="J24" s="115">
        <f>sum('cálculo'!AK$151:AK$158)</f>
        <v>29.2</v>
      </c>
      <c r="K24" s="115">
        <f t="shared" si="1"/>
        <v>94.65</v>
      </c>
      <c r="M24" s="111"/>
      <c r="N24" s="116"/>
      <c r="O24" s="1"/>
      <c r="P24" s="1"/>
      <c r="Q24" s="1"/>
      <c r="R24" s="1"/>
      <c r="S24" s="1"/>
    </row>
    <row r="25" ht="12.75" customHeight="1">
      <c r="A25" s="105" t="s">
        <v>22</v>
      </c>
      <c r="B25" s="115">
        <f>sum('cálculo'!AR$7:AR$24)</f>
        <v>9.35</v>
      </c>
      <c r="C25" s="115">
        <f>sum('cálculo'!AR$25:AR$42)</f>
        <v>9.35</v>
      </c>
      <c r="D25" s="115">
        <f>sum('cálculo'!AR$43:AR$60)</f>
        <v>10.2</v>
      </c>
      <c r="E25" s="115">
        <f>sum('cálculo'!AR$61:AR$78)</f>
        <v>6.8</v>
      </c>
      <c r="F25" s="115">
        <f>sum('cálculo'!AR$79:AR$96)</f>
        <v>5.95</v>
      </c>
      <c r="G25" s="115">
        <f>sum('cálculo'!AR$97:AR$114)</f>
        <v>9.35</v>
      </c>
      <c r="H25" s="115">
        <f>sum('cálculo'!AR$115:AR$132)</f>
        <v>7.65</v>
      </c>
      <c r="I25" s="115">
        <f>sum('cálculo'!AR$133:AR$150)</f>
        <v>5.1</v>
      </c>
      <c r="J25" s="115">
        <f>sum('cálculo'!AR$151:AR$158)</f>
        <v>21</v>
      </c>
      <c r="K25" s="115">
        <f t="shared" si="1"/>
        <v>84.75</v>
      </c>
      <c r="L25" s="1"/>
      <c r="M25" s="111"/>
      <c r="N25" s="1"/>
      <c r="O25" s="1"/>
      <c r="P25" s="1"/>
      <c r="Q25" s="1"/>
      <c r="R25" s="1"/>
      <c r="S25" s="1"/>
    </row>
    <row r="26" ht="12.75" customHeight="1">
      <c r="H26" s="1"/>
      <c r="I26" s="1"/>
      <c r="J26" s="1"/>
      <c r="K26" s="1"/>
      <c r="L26" s="1"/>
      <c r="M26" s="111"/>
      <c r="N26" s="1"/>
      <c r="O26" s="1"/>
      <c r="P26" s="1"/>
      <c r="Q26" s="1"/>
      <c r="R26" s="1"/>
      <c r="S26" s="1"/>
    </row>
    <row r="27" ht="12.75" customHeight="1">
      <c r="H27" s="1"/>
      <c r="I27" s="1"/>
      <c r="J27" s="1"/>
      <c r="K27" s="1"/>
      <c r="L27" s="1"/>
      <c r="M27" s="111"/>
      <c r="N27" s="1"/>
      <c r="O27" s="1"/>
      <c r="P27" s="1"/>
      <c r="Q27" s="1"/>
      <c r="R27" s="1"/>
      <c r="S27" s="1"/>
    </row>
    <row r="28" ht="12.75" customHeight="1">
      <c r="H28" s="1"/>
      <c r="I28" s="1"/>
      <c r="J28" s="1"/>
      <c r="K28" s="1"/>
      <c r="L28" s="1"/>
      <c r="M28" s="111"/>
      <c r="N28" s="1"/>
      <c r="O28" s="1"/>
      <c r="P28" s="1"/>
      <c r="Q28" s="1"/>
      <c r="R28" s="1"/>
      <c r="S28" s="1"/>
    </row>
    <row r="29" ht="12.75" customHeight="1">
      <c r="H29" s="1"/>
      <c r="I29" s="1"/>
      <c r="J29" s="1"/>
      <c r="K29" s="1"/>
      <c r="L29" s="1"/>
      <c r="M29" s="111"/>
      <c r="N29" s="1"/>
      <c r="O29" s="1"/>
      <c r="P29" s="1"/>
      <c r="Q29" s="1"/>
      <c r="R29" s="1"/>
      <c r="S29" s="1"/>
    </row>
    <row r="30" ht="12.75" customHeight="1">
      <c r="H30" s="1"/>
      <c r="I30" s="1"/>
      <c r="J30" s="1"/>
      <c r="K30" s="1"/>
      <c r="L30" s="111"/>
      <c r="M30" s="1"/>
      <c r="N30" s="1"/>
      <c r="O30" s="1"/>
      <c r="P30" s="1"/>
      <c r="Q30" s="1"/>
      <c r="R30" s="1"/>
    </row>
    <row r="31" ht="12.75" customHeight="1">
      <c r="H31" s="1"/>
      <c r="I31" s="1"/>
      <c r="J31" s="1"/>
      <c r="K31" s="1"/>
      <c r="L31" s="111"/>
      <c r="M31" s="1"/>
      <c r="N31" s="1"/>
      <c r="O31" s="1"/>
      <c r="P31" s="1"/>
      <c r="Q31" s="1"/>
      <c r="R31" s="1"/>
    </row>
    <row r="32" ht="12.75" customHeight="1">
      <c r="H32" s="1"/>
      <c r="I32" s="1"/>
      <c r="J32" s="1"/>
      <c r="K32" s="1"/>
      <c r="L32" s="111"/>
      <c r="M32" s="1"/>
      <c r="N32" s="1"/>
      <c r="O32" s="1"/>
      <c r="P32" s="1"/>
      <c r="Q32" s="1"/>
      <c r="R32" s="1"/>
    </row>
    <row r="33" ht="12.75" customHeight="1">
      <c r="H33" s="1"/>
      <c r="I33" s="1"/>
      <c r="J33" s="1"/>
      <c r="K33" s="1"/>
      <c r="L33" s="111"/>
      <c r="M33" s="1"/>
      <c r="N33" s="1"/>
      <c r="O33" s="1"/>
      <c r="P33" s="1"/>
      <c r="Q33" s="1"/>
      <c r="R33" s="1"/>
    </row>
    <row r="34" ht="12.75" customHeight="1">
      <c r="H34" s="1"/>
      <c r="I34" s="1"/>
      <c r="J34" s="1"/>
      <c r="K34" s="1"/>
      <c r="L34" s="111"/>
      <c r="M34" s="1"/>
      <c r="N34" s="1"/>
      <c r="O34" s="1"/>
      <c r="P34" s="1"/>
      <c r="Q34" s="1"/>
      <c r="R34" s="1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75" customHeight="1">
      <c r="H36" s="1"/>
      <c r="I36" s="1"/>
      <c r="J36" s="1"/>
      <c r="K36" s="1"/>
      <c r="L36" s="111"/>
      <c r="M36" s="1"/>
      <c r="N36" s="1"/>
      <c r="O36" s="1"/>
      <c r="P36" s="1"/>
      <c r="Q36" s="1"/>
      <c r="R36" s="1"/>
    </row>
    <row r="37" ht="12.75" customHeight="1">
      <c r="H37" s="1"/>
      <c r="I37" s="1"/>
      <c r="J37" s="1"/>
      <c r="K37" s="1"/>
      <c r="L37" s="111"/>
      <c r="M37" s="1"/>
      <c r="N37" s="1"/>
      <c r="O37" s="1"/>
      <c r="P37" s="1"/>
      <c r="Q37" s="1"/>
      <c r="R37" s="1"/>
    </row>
    <row r="38" ht="12.75" customHeight="1">
      <c r="H38" s="1"/>
      <c r="I38" s="1"/>
      <c r="J38" s="1"/>
      <c r="K38" s="1"/>
      <c r="L38" s="111"/>
      <c r="M38" s="1"/>
      <c r="N38" s="1"/>
      <c r="O38" s="1"/>
      <c r="P38" s="1"/>
      <c r="Q38" s="1"/>
      <c r="R38" s="1"/>
    </row>
    <row r="39" ht="12.75" customHeight="1">
      <c r="H39" s="1"/>
      <c r="I39" s="1"/>
      <c r="J39" s="1"/>
      <c r="K39" s="1"/>
      <c r="L39" s="111"/>
      <c r="M39" s="1"/>
      <c r="N39" s="1"/>
      <c r="O39" s="1"/>
      <c r="P39" s="1"/>
      <c r="Q39" s="1"/>
      <c r="R39" s="1"/>
    </row>
    <row r="40" ht="12.75" customHeight="1">
      <c r="H40" s="1"/>
      <c r="I40" s="1"/>
      <c r="J40" s="1"/>
      <c r="K40" s="1"/>
      <c r="L40" s="111"/>
      <c r="M40" s="1"/>
      <c r="N40" s="1"/>
      <c r="O40" s="1"/>
      <c r="P40" s="1"/>
      <c r="Q40" s="1"/>
      <c r="R40" s="1"/>
    </row>
    <row r="41" ht="12.75" customHeight="1">
      <c r="H41" s="1"/>
      <c r="I41" s="1"/>
      <c r="J41" s="1"/>
      <c r="K41" s="1"/>
      <c r="L41" s="111"/>
      <c r="M41" s="1"/>
      <c r="N41" s="1"/>
      <c r="O41" s="1"/>
      <c r="P41" s="1"/>
      <c r="Q41" s="1"/>
      <c r="R41" s="1"/>
    </row>
    <row r="42" ht="12.75" customHeight="1">
      <c r="H42" s="1"/>
      <c r="I42" s="1"/>
      <c r="J42" s="1"/>
      <c r="K42" s="1"/>
      <c r="L42" s="111"/>
      <c r="M42" s="1"/>
      <c r="N42" s="1"/>
      <c r="O42" s="1"/>
      <c r="P42" s="1"/>
      <c r="Q42" s="1"/>
      <c r="R42" s="1"/>
    </row>
    <row r="43" ht="12.75" customHeight="1">
      <c r="H43" s="1"/>
      <c r="I43" s="1"/>
      <c r="J43" s="1"/>
      <c r="K43" s="1"/>
      <c r="L43" s="111"/>
      <c r="M43" s="1"/>
      <c r="N43" s="1"/>
      <c r="O43" s="1"/>
      <c r="P43" s="1"/>
      <c r="Q43" s="1"/>
      <c r="R43" s="1"/>
    </row>
    <row r="44" ht="12.75" customHeight="1">
      <c r="H44" s="1"/>
      <c r="I44" s="1"/>
      <c r="J44" s="1"/>
      <c r="K44" s="1"/>
      <c r="L44" s="111"/>
      <c r="M44" s="1"/>
      <c r="N44" s="1"/>
      <c r="O44" s="1"/>
      <c r="P44" s="1"/>
      <c r="Q44" s="1"/>
      <c r="R44" s="1"/>
    </row>
    <row r="45" ht="12.75" customHeight="1">
      <c r="H45" s="1"/>
      <c r="I45" s="1"/>
      <c r="J45" s="1"/>
      <c r="K45" s="1"/>
      <c r="L45" s="111"/>
      <c r="M45" s="1"/>
      <c r="N45" s="1"/>
      <c r="O45" s="1"/>
      <c r="P45" s="1"/>
      <c r="Q45" s="1"/>
      <c r="R45" s="1"/>
    </row>
    <row r="46" ht="12.75" customHeight="1">
      <c r="H46" s="1"/>
      <c r="I46" s="1"/>
      <c r="J46" s="1"/>
      <c r="K46" s="1"/>
      <c r="L46" s="111"/>
      <c r="M46" s="1"/>
      <c r="N46" s="1"/>
      <c r="O46" s="1"/>
      <c r="P46" s="1"/>
      <c r="Q46" s="1"/>
      <c r="R46" s="1"/>
    </row>
    <row r="47" ht="12.75" customHeight="1">
      <c r="H47" s="1"/>
      <c r="I47" s="1"/>
      <c r="J47" s="1"/>
      <c r="K47" s="1"/>
      <c r="L47" s="111"/>
      <c r="M47" s="1"/>
      <c r="N47" s="1"/>
      <c r="O47" s="1"/>
      <c r="P47" s="1"/>
      <c r="Q47" s="1"/>
      <c r="R47" s="1"/>
    </row>
    <row r="48" ht="12.75" customHeight="1">
      <c r="H48" s="1"/>
      <c r="I48" s="1"/>
      <c r="J48" s="1"/>
      <c r="K48" s="1"/>
      <c r="L48" s="111"/>
      <c r="M48" s="1"/>
      <c r="N48" s="1"/>
      <c r="O48" s="1"/>
      <c r="P48" s="1"/>
      <c r="Q48" s="1"/>
      <c r="R48" s="1"/>
    </row>
    <row r="49" ht="12.75" customHeight="1">
      <c r="H49" s="1"/>
      <c r="I49" s="1"/>
      <c r="J49" s="1"/>
      <c r="K49" s="1"/>
      <c r="L49" s="111"/>
      <c r="M49" s="1"/>
      <c r="N49" s="1"/>
      <c r="O49" s="1"/>
      <c r="P49" s="1"/>
      <c r="Q49" s="1"/>
      <c r="R49" s="1"/>
    </row>
    <row r="50" ht="12.75" customHeight="1">
      <c r="H50" s="1"/>
      <c r="I50" s="1"/>
      <c r="J50" s="1"/>
      <c r="K50" s="1"/>
      <c r="L50" s="1"/>
      <c r="M50" s="111"/>
      <c r="N50" s="1"/>
      <c r="O50" s="1"/>
      <c r="P50" s="1"/>
      <c r="Q50" s="1"/>
      <c r="R50" s="1"/>
      <c r="S50" s="1"/>
    </row>
    <row r="51" ht="12.75" customHeight="1">
      <c r="H51" s="1"/>
      <c r="I51" s="1"/>
      <c r="J51" s="1"/>
      <c r="K51" s="1"/>
      <c r="L51" s="1"/>
      <c r="M51" s="111"/>
      <c r="N51" s="1"/>
      <c r="O51" s="1"/>
      <c r="P51" s="1"/>
      <c r="Q51" s="1"/>
      <c r="R51" s="1"/>
      <c r="S51" s="1"/>
    </row>
    <row r="52" ht="12.75" customHeight="1">
      <c r="H52" s="1"/>
      <c r="I52" s="1"/>
      <c r="J52" s="1"/>
      <c r="K52" s="1"/>
      <c r="L52" s="1"/>
      <c r="M52" s="111"/>
      <c r="N52" s="1"/>
      <c r="O52" s="1"/>
      <c r="P52" s="1"/>
      <c r="Q52" s="1"/>
      <c r="R52" s="1"/>
      <c r="S52" s="1"/>
    </row>
    <row r="53" ht="12.75" customHeight="1">
      <c r="H53" s="1"/>
      <c r="I53" s="1"/>
      <c r="J53" s="1"/>
      <c r="K53" s="1"/>
      <c r="L53" s="1"/>
      <c r="M53" s="111"/>
      <c r="N53" s="1"/>
      <c r="O53" s="1"/>
      <c r="P53" s="1"/>
      <c r="Q53" s="1"/>
      <c r="R53" s="1"/>
      <c r="S53" s="1"/>
    </row>
    <row r="54" ht="12.75" customHeight="1">
      <c r="H54" s="1"/>
      <c r="I54" s="1"/>
      <c r="J54" s="1"/>
      <c r="K54" s="1"/>
      <c r="L54" s="1"/>
      <c r="M54" s="111"/>
      <c r="N54" s="1"/>
      <c r="O54" s="1"/>
      <c r="P54" s="1"/>
      <c r="Q54" s="1"/>
      <c r="R54" s="1"/>
      <c r="S54" s="1"/>
    </row>
    <row r="55" ht="12.75" customHeight="1">
      <c r="H55" s="1"/>
      <c r="I55" s="1"/>
      <c r="J55" s="1"/>
      <c r="K55" s="1"/>
      <c r="L55" s="1"/>
      <c r="M55" s="111"/>
      <c r="N55" s="1"/>
      <c r="O55" s="1"/>
      <c r="P55" s="1"/>
      <c r="Q55" s="1"/>
      <c r="R55" s="1"/>
      <c r="S55" s="1"/>
    </row>
    <row r="56" ht="12.75" customHeight="1">
      <c r="H56" s="1"/>
      <c r="I56" s="1"/>
      <c r="J56" s="1"/>
      <c r="K56" s="1"/>
      <c r="L56" s="1"/>
      <c r="M56" s="111"/>
      <c r="N56" s="1"/>
      <c r="O56" s="1"/>
      <c r="P56" s="1"/>
      <c r="Q56" s="1"/>
      <c r="R56" s="1"/>
      <c r="S56" s="1"/>
    </row>
    <row r="57" ht="12.75" customHeight="1">
      <c r="H57" s="1"/>
      <c r="I57" s="1"/>
      <c r="J57" s="1"/>
      <c r="K57" s="1"/>
      <c r="L57" s="1"/>
      <c r="M57" s="111"/>
      <c r="N57" s="1"/>
      <c r="O57" s="1"/>
      <c r="P57" s="1"/>
      <c r="Q57" s="1"/>
      <c r="R57" s="1"/>
      <c r="S57" s="1"/>
    </row>
    <row r="58" ht="12.75" customHeight="1">
      <c r="H58" s="1"/>
      <c r="I58" s="1"/>
      <c r="J58" s="1"/>
      <c r="K58" s="1"/>
      <c r="L58" s="1"/>
      <c r="M58" s="111"/>
      <c r="N58" s="1"/>
      <c r="O58" s="1"/>
      <c r="P58" s="1"/>
      <c r="Q58" s="1"/>
      <c r="R58" s="1"/>
      <c r="S58" s="1"/>
    </row>
    <row r="59" ht="12.75" customHeight="1">
      <c r="H59" s="1"/>
      <c r="I59" s="1"/>
      <c r="J59" s="1"/>
      <c r="K59" s="1"/>
      <c r="L59" s="1"/>
      <c r="M59" s="111"/>
      <c r="N59" s="1"/>
      <c r="O59" s="1"/>
      <c r="P59" s="1"/>
      <c r="Q59" s="1"/>
      <c r="R59" s="1"/>
      <c r="S59" s="1"/>
    </row>
    <row r="60" ht="12.75" customHeight="1">
      <c r="H60" s="1"/>
      <c r="I60" s="1"/>
      <c r="J60" s="1"/>
      <c r="K60" s="1"/>
      <c r="L60" s="1"/>
      <c r="M60" s="111"/>
      <c r="N60" s="1"/>
      <c r="O60" s="1"/>
      <c r="P60" s="1"/>
      <c r="Q60" s="1"/>
      <c r="R60" s="1"/>
      <c r="S60" s="1"/>
    </row>
    <row r="61" ht="12.75" customHeight="1">
      <c r="H61" s="1"/>
      <c r="I61" s="1"/>
      <c r="J61" s="1"/>
      <c r="K61" s="1"/>
      <c r="L61" s="1"/>
      <c r="M61" s="111"/>
      <c r="N61" s="1"/>
      <c r="O61" s="1"/>
      <c r="P61" s="1"/>
      <c r="Q61" s="1"/>
      <c r="R61" s="1"/>
      <c r="S61" s="1"/>
    </row>
    <row r="62" ht="12.75" customHeight="1">
      <c r="H62" s="1"/>
      <c r="I62" s="1"/>
      <c r="J62" s="1"/>
      <c r="K62" s="1"/>
      <c r="L62" s="1"/>
      <c r="M62" s="111"/>
      <c r="N62" s="1"/>
      <c r="O62" s="1"/>
      <c r="P62" s="1"/>
      <c r="Q62" s="1"/>
      <c r="R62" s="1"/>
      <c r="S62" s="1"/>
    </row>
    <row r="63" ht="12.75" customHeight="1">
      <c r="H63" s="1"/>
      <c r="I63" s="1"/>
      <c r="J63" s="1"/>
      <c r="K63" s="1"/>
      <c r="L63" s="1"/>
      <c r="M63" s="111"/>
      <c r="N63" s="1"/>
      <c r="O63" s="1"/>
      <c r="P63" s="1"/>
      <c r="Q63" s="1"/>
      <c r="R63" s="1"/>
      <c r="S63" s="1"/>
    </row>
    <row r="64" ht="12.75" customHeight="1">
      <c r="H64" s="1"/>
      <c r="I64" s="1"/>
      <c r="J64" s="1"/>
      <c r="K64" s="1"/>
      <c r="L64" s="1"/>
      <c r="M64" s="111"/>
      <c r="N64" s="1"/>
      <c r="O64" s="1"/>
      <c r="P64" s="1"/>
      <c r="Q64" s="1"/>
      <c r="R64" s="1"/>
      <c r="S64" s="1"/>
    </row>
    <row r="65" ht="12.75" customHeight="1">
      <c r="H65" s="1"/>
      <c r="I65" s="1"/>
      <c r="J65" s="1"/>
      <c r="K65" s="1"/>
      <c r="L65" s="1"/>
      <c r="M65" s="111"/>
      <c r="N65" s="1"/>
      <c r="O65" s="1"/>
      <c r="P65" s="1"/>
      <c r="Q65" s="1"/>
      <c r="R65" s="1"/>
      <c r="S65" s="1"/>
    </row>
    <row r="66" ht="12.75" customHeight="1">
      <c r="H66" s="1"/>
      <c r="I66" s="1"/>
      <c r="J66" s="1"/>
      <c r="K66" s="1"/>
      <c r="L66" s="1"/>
      <c r="M66" s="111"/>
      <c r="N66" s="1"/>
      <c r="O66" s="1"/>
      <c r="P66" s="1"/>
      <c r="Q66" s="1"/>
      <c r="R66" s="1"/>
      <c r="S66" s="1"/>
    </row>
    <row r="67" ht="12.75" customHeight="1">
      <c r="H67" s="1"/>
      <c r="I67" s="1"/>
      <c r="J67" s="1"/>
      <c r="K67" s="1"/>
      <c r="L67" s="1"/>
      <c r="M67" s="111"/>
      <c r="N67" s="1"/>
      <c r="O67" s="1"/>
      <c r="P67" s="1"/>
      <c r="Q67" s="1"/>
      <c r="R67" s="1"/>
      <c r="S67" s="1"/>
    </row>
    <row r="68" ht="12.75" customHeight="1">
      <c r="H68" s="1"/>
      <c r="I68" s="1"/>
      <c r="J68" s="1"/>
      <c r="K68" s="1"/>
      <c r="L68" s="1"/>
      <c r="M68" s="111"/>
      <c r="N68" s="1"/>
      <c r="O68" s="1"/>
      <c r="P68" s="1"/>
      <c r="Q68" s="1"/>
      <c r="R68" s="1"/>
      <c r="S68" s="1"/>
    </row>
    <row r="69" ht="12.75" customHeight="1">
      <c r="H69" s="1"/>
      <c r="I69" s="1"/>
      <c r="J69" s="1"/>
      <c r="K69" s="1"/>
      <c r="L69" s="1"/>
      <c r="M69" s="111"/>
      <c r="N69" s="1"/>
      <c r="O69" s="1"/>
      <c r="P69" s="1"/>
      <c r="Q69" s="1"/>
      <c r="R69" s="1"/>
      <c r="S69" s="1"/>
    </row>
    <row r="70" ht="12.75" customHeight="1">
      <c r="H70" s="1"/>
      <c r="I70" s="1"/>
      <c r="J70" s="1"/>
      <c r="K70" s="1"/>
      <c r="L70" s="1"/>
      <c r="M70" s="111"/>
      <c r="N70" s="1"/>
      <c r="O70" s="1"/>
      <c r="P70" s="1"/>
      <c r="Q70" s="1"/>
      <c r="R70" s="1"/>
      <c r="S70" s="1"/>
    </row>
    <row r="71" ht="12.75" customHeight="1">
      <c r="H71" s="1"/>
      <c r="I71" s="1"/>
      <c r="J71" s="1"/>
      <c r="K71" s="1"/>
      <c r="L71" s="1"/>
      <c r="M71" s="111"/>
      <c r="N71" s="1"/>
      <c r="O71" s="1"/>
      <c r="P71" s="1"/>
      <c r="Q71" s="1"/>
      <c r="R71" s="1"/>
      <c r="S71" s="1"/>
    </row>
    <row r="72" ht="12.75" customHeight="1">
      <c r="H72" s="1"/>
      <c r="I72" s="1"/>
      <c r="J72" s="1"/>
      <c r="K72" s="1"/>
      <c r="L72" s="1"/>
      <c r="M72" s="111"/>
      <c r="N72" s="1"/>
      <c r="O72" s="1"/>
      <c r="P72" s="1"/>
      <c r="Q72" s="1"/>
      <c r="R72" s="1"/>
      <c r="S72" s="1"/>
    </row>
    <row r="73" ht="12.75" customHeight="1">
      <c r="H73" s="1"/>
      <c r="I73" s="1"/>
      <c r="J73" s="1"/>
      <c r="K73" s="1"/>
      <c r="L73" s="1"/>
      <c r="M73" s="111"/>
      <c r="N73" s="1"/>
      <c r="O73" s="1"/>
      <c r="P73" s="1"/>
      <c r="Q73" s="1"/>
      <c r="R73" s="1"/>
      <c r="S73" s="1"/>
    </row>
    <row r="74" ht="12.75" customHeight="1">
      <c r="H74" s="1"/>
      <c r="I74" s="1"/>
      <c r="J74" s="1"/>
      <c r="K74" s="1"/>
      <c r="L74" s="1"/>
      <c r="M74" s="111"/>
      <c r="N74" s="1"/>
      <c r="O74" s="1"/>
      <c r="P74" s="1"/>
      <c r="Q74" s="1"/>
      <c r="R74" s="1"/>
      <c r="S74" s="1"/>
    </row>
    <row r="75" ht="12.75" customHeight="1">
      <c r="H75" s="1"/>
      <c r="I75" s="1"/>
      <c r="J75" s="1"/>
      <c r="K75" s="1"/>
      <c r="L75" s="1"/>
      <c r="M75" s="111"/>
      <c r="N75" s="1"/>
      <c r="O75" s="1"/>
      <c r="P75" s="1"/>
      <c r="Q75" s="1"/>
      <c r="R75" s="1"/>
      <c r="S75" s="1"/>
    </row>
    <row r="76" ht="12.75" customHeight="1">
      <c r="H76" s="1"/>
      <c r="I76" s="1"/>
      <c r="J76" s="1"/>
      <c r="K76" s="1"/>
      <c r="L76" s="1"/>
      <c r="M76" s="111"/>
      <c r="N76" s="1"/>
      <c r="O76" s="1"/>
      <c r="P76" s="1"/>
      <c r="Q76" s="1"/>
      <c r="R76" s="1"/>
      <c r="S76" s="1"/>
    </row>
    <row r="77" ht="12.75" customHeight="1">
      <c r="H77" s="1"/>
      <c r="I77" s="1"/>
      <c r="J77" s="1"/>
      <c r="K77" s="1"/>
      <c r="L77" s="1"/>
      <c r="M77" s="111"/>
      <c r="N77" s="1"/>
      <c r="O77" s="1"/>
      <c r="P77" s="1"/>
      <c r="Q77" s="1"/>
      <c r="R77" s="1"/>
      <c r="S77" s="1"/>
    </row>
    <row r="78" ht="12.75" customHeight="1">
      <c r="H78" s="1"/>
      <c r="I78" s="1"/>
      <c r="J78" s="1"/>
      <c r="K78" s="1"/>
      <c r="L78" s="1"/>
      <c r="M78" s="111"/>
      <c r="N78" s="1"/>
      <c r="O78" s="1"/>
      <c r="P78" s="1"/>
      <c r="Q78" s="1"/>
      <c r="R78" s="1"/>
      <c r="S78" s="1"/>
    </row>
    <row r="79" ht="12.75" customHeight="1">
      <c r="H79" s="1"/>
      <c r="I79" s="1"/>
      <c r="J79" s="1"/>
      <c r="K79" s="1"/>
      <c r="L79" s="1"/>
      <c r="M79" s="111"/>
      <c r="N79" s="1"/>
      <c r="O79" s="1"/>
      <c r="P79" s="1"/>
      <c r="Q79" s="1"/>
      <c r="R79" s="1"/>
      <c r="S79" s="1"/>
    </row>
    <row r="80" ht="12.75" customHeight="1">
      <c r="H80" s="1"/>
      <c r="I80" s="1"/>
      <c r="J80" s="1"/>
      <c r="K80" s="1"/>
      <c r="L80" s="1"/>
      <c r="M80" s="111"/>
      <c r="N80" s="1"/>
      <c r="O80" s="1"/>
      <c r="P80" s="1"/>
      <c r="Q80" s="1"/>
      <c r="R80" s="1"/>
      <c r="S80" s="1"/>
    </row>
    <row r="81" ht="12.75" customHeight="1">
      <c r="H81" s="1"/>
      <c r="I81" s="1"/>
      <c r="J81" s="1"/>
      <c r="K81" s="1"/>
      <c r="L81" s="1"/>
      <c r="M81" s="111"/>
      <c r="N81" s="1"/>
      <c r="O81" s="1"/>
      <c r="P81" s="1"/>
      <c r="Q81" s="1"/>
      <c r="R81" s="1"/>
      <c r="S81" s="1"/>
    </row>
    <row r="82" ht="12.75" customHeight="1">
      <c r="H82" s="1"/>
      <c r="I82" s="1"/>
      <c r="J82" s="1"/>
      <c r="K82" s="1"/>
      <c r="L82" s="1"/>
      <c r="M82" s="111"/>
      <c r="N82" s="1"/>
      <c r="O82" s="1"/>
      <c r="P82" s="1"/>
      <c r="Q82" s="1"/>
      <c r="R82" s="1"/>
      <c r="S82" s="1"/>
    </row>
    <row r="83" ht="12.75" customHeight="1">
      <c r="H83" s="1"/>
      <c r="I83" s="1"/>
      <c r="J83" s="1"/>
      <c r="K83" s="1"/>
      <c r="L83" s="1"/>
      <c r="M83" s="111"/>
      <c r="N83" s="1"/>
      <c r="O83" s="1"/>
      <c r="P83" s="1"/>
      <c r="Q83" s="1"/>
      <c r="R83" s="1"/>
      <c r="S83" s="1"/>
    </row>
    <row r="84" ht="12.75" customHeight="1">
      <c r="H84" s="1"/>
      <c r="I84" s="1"/>
      <c r="J84" s="1"/>
      <c r="K84" s="1"/>
      <c r="L84" s="1"/>
      <c r="M84" s="111"/>
      <c r="N84" s="1"/>
      <c r="O84" s="1"/>
      <c r="P84" s="1"/>
      <c r="Q84" s="1"/>
      <c r="R84" s="1"/>
      <c r="S84" s="1"/>
    </row>
    <row r="85" ht="12.75" customHeight="1">
      <c r="H85" s="1"/>
      <c r="I85" s="1"/>
      <c r="J85" s="1"/>
      <c r="K85" s="1"/>
      <c r="L85" s="1"/>
      <c r="M85" s="111"/>
      <c r="N85" s="1"/>
      <c r="O85" s="1"/>
      <c r="P85" s="1"/>
      <c r="Q85" s="1"/>
      <c r="R85" s="1"/>
      <c r="S85" s="1"/>
    </row>
    <row r="86" ht="12.75" customHeight="1">
      <c r="H86" s="1"/>
      <c r="I86" s="1"/>
      <c r="J86" s="1"/>
      <c r="K86" s="1"/>
      <c r="L86" s="1"/>
      <c r="M86" s="111"/>
      <c r="N86" s="1"/>
      <c r="O86" s="1"/>
      <c r="P86" s="1"/>
      <c r="Q86" s="1"/>
      <c r="R86" s="1"/>
      <c r="S86" s="1"/>
    </row>
    <row r="87" ht="12.75" customHeight="1">
      <c r="H87" s="1"/>
      <c r="I87" s="1"/>
      <c r="J87" s="1"/>
      <c r="K87" s="1"/>
      <c r="L87" s="1"/>
      <c r="M87" s="111"/>
      <c r="N87" s="1"/>
      <c r="O87" s="1"/>
      <c r="P87" s="1"/>
      <c r="Q87" s="1"/>
      <c r="R87" s="1"/>
      <c r="S87" s="1"/>
    </row>
    <row r="88" ht="12.75" customHeight="1">
      <c r="H88" s="1"/>
      <c r="I88" s="1"/>
      <c r="J88" s="1"/>
      <c r="K88" s="1"/>
      <c r="L88" s="1"/>
      <c r="M88" s="111"/>
      <c r="N88" s="1"/>
      <c r="O88" s="1"/>
      <c r="P88" s="1"/>
      <c r="Q88" s="1"/>
      <c r="R88" s="1"/>
      <c r="S88" s="1"/>
    </row>
    <row r="89" ht="12.75" customHeight="1">
      <c r="H89" s="1"/>
      <c r="I89" s="1"/>
      <c r="J89" s="1"/>
      <c r="K89" s="1"/>
      <c r="L89" s="1"/>
      <c r="M89" s="111"/>
      <c r="N89" s="1"/>
      <c r="O89" s="1"/>
      <c r="P89" s="1"/>
      <c r="Q89" s="1"/>
      <c r="R89" s="1"/>
      <c r="S89" s="1"/>
    </row>
    <row r="90" ht="12.75" customHeight="1">
      <c r="H90" s="1"/>
      <c r="I90" s="1"/>
      <c r="J90" s="1"/>
      <c r="K90" s="1"/>
      <c r="L90" s="1"/>
      <c r="M90" s="111"/>
      <c r="N90" s="1"/>
      <c r="O90" s="1"/>
      <c r="P90" s="1"/>
      <c r="Q90" s="1"/>
      <c r="R90" s="1"/>
      <c r="S90" s="1"/>
    </row>
    <row r="91" ht="12.75" customHeight="1">
      <c r="H91" s="1"/>
      <c r="I91" s="1"/>
      <c r="J91" s="1"/>
      <c r="K91" s="1"/>
      <c r="L91" s="1"/>
      <c r="M91" s="111"/>
      <c r="N91" s="1"/>
      <c r="O91" s="1"/>
      <c r="P91" s="1"/>
      <c r="Q91" s="1"/>
      <c r="R91" s="1"/>
      <c r="S91" s="1"/>
    </row>
    <row r="92" ht="12.75" customHeight="1">
      <c r="H92" s="1"/>
      <c r="I92" s="1"/>
      <c r="J92" s="1"/>
      <c r="K92" s="1"/>
      <c r="L92" s="1"/>
      <c r="M92" s="111"/>
      <c r="N92" s="1"/>
      <c r="O92" s="1"/>
      <c r="P92" s="1"/>
      <c r="Q92" s="1"/>
      <c r="R92" s="1"/>
      <c r="S92" s="1"/>
    </row>
    <row r="93" ht="12.75" customHeight="1">
      <c r="H93" s="1"/>
      <c r="I93" s="1"/>
      <c r="J93" s="1"/>
      <c r="K93" s="1"/>
      <c r="L93" s="1"/>
      <c r="M93" s="111"/>
      <c r="N93" s="1"/>
      <c r="O93" s="1"/>
      <c r="P93" s="1"/>
      <c r="Q93" s="1"/>
      <c r="R93" s="1"/>
      <c r="S93" s="1"/>
    </row>
    <row r="94" ht="12.75" customHeight="1">
      <c r="H94" s="1"/>
      <c r="I94" s="1"/>
      <c r="J94" s="1"/>
      <c r="K94" s="1"/>
      <c r="L94" s="1"/>
      <c r="M94" s="111"/>
      <c r="N94" s="1"/>
      <c r="O94" s="1"/>
      <c r="P94" s="1"/>
      <c r="Q94" s="1"/>
      <c r="R94" s="1"/>
      <c r="S94" s="1"/>
    </row>
    <row r="95" ht="12.75" customHeight="1">
      <c r="H95" s="1"/>
      <c r="I95" s="1"/>
      <c r="J95" s="1"/>
      <c r="K95" s="1"/>
      <c r="L95" s="1"/>
      <c r="M95" s="111"/>
      <c r="N95" s="1"/>
      <c r="O95" s="1"/>
      <c r="P95" s="1"/>
      <c r="Q95" s="1"/>
      <c r="R95" s="1"/>
      <c r="S95" s="1"/>
    </row>
    <row r="96" ht="12.75" customHeight="1">
      <c r="H96" s="1"/>
      <c r="I96" s="1"/>
      <c r="J96" s="1"/>
      <c r="K96" s="1"/>
      <c r="L96" s="1"/>
      <c r="M96" s="111"/>
      <c r="N96" s="1"/>
      <c r="O96" s="1"/>
      <c r="P96" s="1"/>
      <c r="Q96" s="1"/>
      <c r="R96" s="1"/>
      <c r="S96" s="1"/>
    </row>
    <row r="97" ht="12.75" customHeight="1">
      <c r="H97" s="1"/>
      <c r="I97" s="1"/>
      <c r="J97" s="1"/>
      <c r="K97" s="1"/>
      <c r="L97" s="1"/>
      <c r="M97" s="111"/>
      <c r="N97" s="1"/>
      <c r="O97" s="1"/>
      <c r="P97" s="1"/>
      <c r="Q97" s="1"/>
      <c r="R97" s="1"/>
      <c r="S97" s="1"/>
    </row>
    <row r="98" ht="12.75" customHeight="1">
      <c r="H98" s="1"/>
      <c r="I98" s="1"/>
      <c r="J98" s="1"/>
      <c r="K98" s="1"/>
      <c r="L98" s="1"/>
      <c r="M98" s="111"/>
      <c r="N98" s="1"/>
      <c r="O98" s="1"/>
      <c r="P98" s="1"/>
      <c r="Q98" s="1"/>
      <c r="R98" s="1"/>
      <c r="S98" s="1"/>
    </row>
    <row r="99" ht="12.75" customHeight="1">
      <c r="H99" s="1"/>
      <c r="I99" s="1"/>
      <c r="J99" s="1"/>
      <c r="K99" s="1"/>
      <c r="L99" s="1"/>
      <c r="M99" s="111"/>
      <c r="N99" s="1"/>
      <c r="O99" s="1"/>
      <c r="P99" s="1"/>
      <c r="Q99" s="1"/>
      <c r="R99" s="1"/>
      <c r="S99" s="1"/>
    </row>
    <row r="100" ht="12.75" customHeight="1">
      <c r="H100" s="1"/>
      <c r="I100" s="1"/>
      <c r="J100" s="1"/>
      <c r="K100" s="1"/>
      <c r="L100" s="1"/>
      <c r="M100" s="111"/>
      <c r="N100" s="1"/>
      <c r="O100" s="1"/>
      <c r="P100" s="1"/>
      <c r="Q100" s="1"/>
      <c r="R100" s="1"/>
      <c r="S100" s="1"/>
    </row>
    <row r="101" ht="12.75" customHeight="1">
      <c r="H101" s="1"/>
      <c r="I101" s="1"/>
      <c r="J101" s="1"/>
      <c r="K101" s="1"/>
      <c r="L101" s="1"/>
      <c r="M101" s="111"/>
      <c r="N101" s="1"/>
      <c r="O101" s="1"/>
      <c r="P101" s="1"/>
      <c r="Q101" s="1"/>
      <c r="R101" s="1"/>
      <c r="S101" s="1"/>
    </row>
    <row r="102" ht="12.75" customHeight="1">
      <c r="H102" s="1"/>
      <c r="I102" s="1"/>
      <c r="J102" s="1"/>
      <c r="K102" s="1"/>
      <c r="L102" s="1"/>
      <c r="M102" s="111"/>
      <c r="N102" s="1"/>
      <c r="O102" s="1"/>
      <c r="P102" s="1"/>
      <c r="Q102" s="1"/>
      <c r="R102" s="1"/>
      <c r="S102" s="1"/>
    </row>
    <row r="103" ht="12.75" customHeight="1">
      <c r="H103" s="1"/>
      <c r="I103" s="1"/>
      <c r="J103" s="1"/>
      <c r="K103" s="1"/>
      <c r="L103" s="1"/>
      <c r="M103" s="111"/>
      <c r="N103" s="1"/>
      <c r="O103" s="1"/>
      <c r="P103" s="1"/>
      <c r="Q103" s="1"/>
      <c r="R103" s="1"/>
      <c r="S103" s="1"/>
    </row>
    <row r="104" ht="12.75" customHeight="1">
      <c r="H104" s="1"/>
      <c r="I104" s="1"/>
      <c r="J104" s="1"/>
      <c r="K104" s="1"/>
      <c r="L104" s="1"/>
      <c r="M104" s="111"/>
      <c r="N104" s="1"/>
      <c r="O104" s="1"/>
      <c r="P104" s="1"/>
      <c r="Q104" s="1"/>
      <c r="R104" s="1"/>
      <c r="S104" s="1"/>
    </row>
    <row r="105" ht="12.75" customHeight="1">
      <c r="H105" s="1"/>
      <c r="I105" s="1"/>
      <c r="J105" s="1"/>
      <c r="K105" s="1"/>
      <c r="L105" s="1"/>
      <c r="M105" s="111"/>
      <c r="N105" s="1"/>
      <c r="O105" s="1"/>
      <c r="P105" s="1"/>
      <c r="Q105" s="1"/>
      <c r="R105" s="1"/>
      <c r="S105" s="1"/>
    </row>
    <row r="106" ht="12.75" customHeight="1">
      <c r="H106" s="1"/>
      <c r="I106" s="1"/>
      <c r="J106" s="1"/>
      <c r="K106" s="1"/>
      <c r="L106" s="1"/>
      <c r="M106" s="111"/>
      <c r="N106" s="1"/>
      <c r="O106" s="1"/>
      <c r="P106" s="1"/>
      <c r="Q106" s="1"/>
      <c r="R106" s="1"/>
      <c r="S106" s="1"/>
    </row>
    <row r="107" ht="12.75" customHeight="1">
      <c r="H107" s="1"/>
      <c r="I107" s="1"/>
      <c r="J107" s="1"/>
      <c r="K107" s="1"/>
      <c r="L107" s="1"/>
      <c r="M107" s="111"/>
      <c r="N107" s="1"/>
      <c r="O107" s="1"/>
      <c r="P107" s="1"/>
      <c r="Q107" s="1"/>
      <c r="R107" s="1"/>
      <c r="S107" s="1"/>
    </row>
    <row r="108" ht="12.75" customHeight="1">
      <c r="H108" s="1"/>
      <c r="I108" s="1"/>
      <c r="J108" s="1"/>
      <c r="K108" s="1"/>
      <c r="L108" s="1"/>
      <c r="M108" s="111"/>
      <c r="N108" s="1"/>
      <c r="O108" s="1"/>
      <c r="P108" s="1"/>
      <c r="Q108" s="1"/>
      <c r="R108" s="1"/>
      <c r="S108" s="1"/>
    </row>
    <row r="109" ht="12.75" customHeight="1">
      <c r="H109" s="1"/>
      <c r="I109" s="1"/>
      <c r="J109" s="1"/>
      <c r="K109" s="1"/>
      <c r="L109" s="1"/>
      <c r="M109" s="111"/>
      <c r="N109" s="1"/>
      <c r="O109" s="1"/>
      <c r="P109" s="1"/>
      <c r="Q109" s="1"/>
      <c r="R109" s="1"/>
      <c r="S109" s="1"/>
    </row>
    <row r="110" ht="12.75" customHeight="1">
      <c r="H110" s="1"/>
      <c r="I110" s="1"/>
      <c r="J110" s="1"/>
      <c r="K110" s="1"/>
      <c r="L110" s="1"/>
      <c r="M110" s="111"/>
      <c r="N110" s="1"/>
      <c r="O110" s="1"/>
      <c r="P110" s="1"/>
      <c r="Q110" s="1"/>
      <c r="R110" s="1"/>
      <c r="S110" s="1"/>
    </row>
    <row r="111" ht="12.75" customHeight="1">
      <c r="H111" s="1"/>
      <c r="I111" s="1"/>
      <c r="J111" s="1"/>
      <c r="K111" s="1"/>
      <c r="L111" s="1"/>
      <c r="M111" s="111"/>
      <c r="N111" s="1"/>
      <c r="O111" s="1"/>
      <c r="P111" s="1"/>
      <c r="Q111" s="1"/>
      <c r="R111" s="1"/>
      <c r="S111" s="1"/>
    </row>
    <row r="112" ht="12.75" customHeight="1">
      <c r="H112" s="1"/>
      <c r="I112" s="1"/>
      <c r="J112" s="1"/>
      <c r="K112" s="1"/>
      <c r="L112" s="1"/>
      <c r="M112" s="111"/>
      <c r="N112" s="1"/>
      <c r="O112" s="1"/>
      <c r="P112" s="1"/>
      <c r="Q112" s="1"/>
      <c r="R112" s="1"/>
      <c r="S112" s="1"/>
    </row>
    <row r="113" ht="12.75" customHeight="1">
      <c r="H113" s="1"/>
      <c r="I113" s="1"/>
      <c r="J113" s="1"/>
      <c r="K113" s="1"/>
      <c r="L113" s="1"/>
      <c r="M113" s="111"/>
      <c r="N113" s="1"/>
      <c r="O113" s="1"/>
      <c r="P113" s="1"/>
      <c r="Q113" s="1"/>
      <c r="R113" s="1"/>
      <c r="S113" s="1"/>
    </row>
    <row r="114" ht="12.75" customHeight="1">
      <c r="H114" s="1"/>
      <c r="I114" s="1"/>
      <c r="J114" s="1"/>
      <c r="K114" s="1"/>
      <c r="L114" s="1"/>
      <c r="M114" s="111"/>
      <c r="N114" s="1"/>
      <c r="O114" s="1"/>
      <c r="P114" s="1"/>
      <c r="Q114" s="1"/>
      <c r="R114" s="1"/>
      <c r="S114" s="1"/>
    </row>
    <row r="115" ht="12.75" customHeight="1">
      <c r="H115" s="1"/>
      <c r="I115" s="1"/>
      <c r="J115" s="1"/>
      <c r="K115" s="1"/>
      <c r="L115" s="1"/>
      <c r="M115" s="111"/>
      <c r="N115" s="1"/>
      <c r="O115" s="1"/>
      <c r="P115" s="1"/>
      <c r="Q115" s="1"/>
      <c r="R115" s="1"/>
      <c r="S115" s="1"/>
    </row>
    <row r="116" ht="12.75" customHeight="1">
      <c r="H116" s="1"/>
      <c r="I116" s="1"/>
      <c r="J116" s="1"/>
      <c r="K116" s="1"/>
      <c r="L116" s="1"/>
      <c r="M116" s="111"/>
      <c r="N116" s="1"/>
      <c r="O116" s="1"/>
      <c r="P116" s="1"/>
      <c r="Q116" s="1"/>
      <c r="R116" s="1"/>
      <c r="S116" s="1"/>
    </row>
    <row r="117" ht="12.75" customHeight="1">
      <c r="H117" s="1"/>
      <c r="I117" s="1"/>
      <c r="J117" s="1"/>
      <c r="K117" s="1"/>
      <c r="L117" s="1"/>
      <c r="M117" s="111"/>
      <c r="N117" s="1"/>
      <c r="O117" s="1"/>
      <c r="P117" s="1"/>
      <c r="Q117" s="1"/>
      <c r="R117" s="1"/>
      <c r="S117" s="1"/>
    </row>
    <row r="118" ht="12.75" customHeight="1">
      <c r="H118" s="1"/>
      <c r="I118" s="1"/>
      <c r="J118" s="1"/>
      <c r="K118" s="1"/>
      <c r="L118" s="1"/>
      <c r="M118" s="111"/>
      <c r="N118" s="1"/>
      <c r="O118" s="1"/>
      <c r="P118" s="1"/>
      <c r="Q118" s="1"/>
      <c r="R118" s="1"/>
      <c r="S118" s="1"/>
    </row>
    <row r="119" ht="12.75" customHeight="1">
      <c r="H119" s="1"/>
      <c r="I119" s="1"/>
      <c r="J119" s="1"/>
      <c r="K119" s="1"/>
      <c r="L119" s="1"/>
      <c r="M119" s="111"/>
      <c r="N119" s="1"/>
      <c r="O119" s="1"/>
      <c r="P119" s="1"/>
      <c r="Q119" s="1"/>
      <c r="R119" s="1"/>
      <c r="S119" s="1"/>
    </row>
    <row r="120" ht="12.75" customHeight="1">
      <c r="H120" s="1"/>
      <c r="I120" s="1"/>
      <c r="J120" s="1"/>
      <c r="K120" s="1"/>
      <c r="L120" s="1"/>
      <c r="M120" s="111"/>
      <c r="N120" s="1"/>
      <c r="O120" s="1"/>
      <c r="P120" s="1"/>
      <c r="Q120" s="1"/>
      <c r="R120" s="1"/>
      <c r="S120" s="1"/>
    </row>
    <row r="121" ht="12.75" customHeight="1">
      <c r="H121" s="1"/>
      <c r="I121" s="1"/>
      <c r="J121" s="1"/>
      <c r="K121" s="1"/>
      <c r="L121" s="1"/>
      <c r="M121" s="111"/>
      <c r="N121" s="1"/>
      <c r="O121" s="1"/>
      <c r="P121" s="1"/>
      <c r="Q121" s="1"/>
      <c r="R121" s="1"/>
      <c r="S121" s="1"/>
    </row>
    <row r="122" ht="12.75" customHeight="1">
      <c r="H122" s="1"/>
      <c r="I122" s="1"/>
      <c r="J122" s="1"/>
      <c r="K122" s="1"/>
      <c r="L122" s="1"/>
      <c r="M122" s="111"/>
      <c r="N122" s="1"/>
      <c r="O122" s="1"/>
      <c r="P122" s="1"/>
      <c r="Q122" s="1"/>
      <c r="R122" s="1"/>
      <c r="S122" s="1"/>
    </row>
    <row r="123" ht="12.75" customHeight="1">
      <c r="H123" s="1"/>
      <c r="I123" s="1"/>
      <c r="J123" s="1"/>
      <c r="K123" s="1"/>
      <c r="L123" s="1"/>
      <c r="M123" s="111"/>
      <c r="N123" s="1"/>
      <c r="O123" s="1"/>
      <c r="P123" s="1"/>
      <c r="Q123" s="1"/>
      <c r="R123" s="1"/>
      <c r="S123" s="1"/>
    </row>
    <row r="124" ht="12.75" customHeight="1">
      <c r="H124" s="1"/>
      <c r="I124" s="1"/>
      <c r="J124" s="1"/>
      <c r="K124" s="1"/>
      <c r="L124" s="1"/>
      <c r="M124" s="111"/>
      <c r="N124" s="1"/>
      <c r="O124" s="1"/>
      <c r="P124" s="1"/>
      <c r="Q124" s="1"/>
      <c r="R124" s="1"/>
      <c r="S124" s="1"/>
    </row>
    <row r="125" ht="12.75" customHeight="1">
      <c r="H125" s="1"/>
      <c r="I125" s="1"/>
      <c r="J125" s="1"/>
      <c r="K125" s="1"/>
      <c r="L125" s="1"/>
      <c r="M125" s="111"/>
      <c r="N125" s="1"/>
      <c r="O125" s="1"/>
      <c r="P125" s="1"/>
      <c r="Q125" s="1"/>
      <c r="R125" s="1"/>
      <c r="S125" s="1"/>
    </row>
    <row r="126" ht="12.75" customHeight="1">
      <c r="H126" s="1"/>
      <c r="I126" s="1"/>
      <c r="J126" s="1"/>
      <c r="K126" s="1"/>
      <c r="L126" s="1"/>
      <c r="M126" s="111"/>
      <c r="N126" s="1"/>
      <c r="O126" s="1"/>
      <c r="P126" s="1"/>
      <c r="Q126" s="1"/>
      <c r="R126" s="1"/>
      <c r="S126" s="1"/>
    </row>
    <row r="127" ht="12.75" customHeight="1">
      <c r="H127" s="1"/>
      <c r="I127" s="1"/>
      <c r="J127" s="1"/>
      <c r="K127" s="1"/>
      <c r="L127" s="1"/>
      <c r="M127" s="111"/>
      <c r="N127" s="1"/>
      <c r="O127" s="1"/>
      <c r="P127" s="1"/>
      <c r="Q127" s="1"/>
      <c r="R127" s="1"/>
      <c r="S127" s="1"/>
    </row>
    <row r="128" ht="12.75" customHeight="1">
      <c r="H128" s="1"/>
      <c r="I128" s="1"/>
      <c r="J128" s="1"/>
      <c r="K128" s="1"/>
      <c r="L128" s="1"/>
      <c r="M128" s="111"/>
      <c r="N128" s="1"/>
      <c r="O128" s="1"/>
      <c r="P128" s="1"/>
      <c r="Q128" s="1"/>
      <c r="R128" s="1"/>
      <c r="S128" s="1"/>
    </row>
    <row r="129" ht="12.75" customHeight="1">
      <c r="H129" s="1"/>
      <c r="I129" s="1"/>
      <c r="J129" s="1"/>
      <c r="K129" s="1"/>
      <c r="L129" s="1"/>
      <c r="M129" s="111"/>
      <c r="N129" s="1"/>
      <c r="O129" s="1"/>
      <c r="P129" s="1"/>
      <c r="Q129" s="1"/>
      <c r="R129" s="1"/>
      <c r="S129" s="1"/>
    </row>
    <row r="130" ht="12.75" customHeight="1">
      <c r="H130" s="1"/>
      <c r="I130" s="1"/>
      <c r="J130" s="1"/>
      <c r="K130" s="1"/>
      <c r="L130" s="1"/>
      <c r="M130" s="111"/>
      <c r="N130" s="1"/>
      <c r="O130" s="1"/>
      <c r="P130" s="1"/>
      <c r="Q130" s="1"/>
      <c r="R130" s="1"/>
      <c r="S130" s="1"/>
    </row>
    <row r="131" ht="12.75" customHeight="1">
      <c r="H131" s="1"/>
      <c r="I131" s="1"/>
      <c r="J131" s="1"/>
      <c r="K131" s="1"/>
      <c r="L131" s="1"/>
      <c r="M131" s="111"/>
      <c r="N131" s="1"/>
      <c r="O131" s="1"/>
      <c r="P131" s="1"/>
      <c r="Q131" s="1"/>
      <c r="R131" s="1"/>
      <c r="S131" s="1"/>
    </row>
    <row r="132" ht="12.75" customHeight="1">
      <c r="H132" s="1"/>
      <c r="I132" s="1"/>
      <c r="J132" s="1"/>
      <c r="K132" s="1"/>
      <c r="L132" s="1"/>
      <c r="M132" s="111"/>
      <c r="N132" s="1"/>
      <c r="O132" s="1"/>
      <c r="P132" s="1"/>
      <c r="Q132" s="1"/>
      <c r="R132" s="1"/>
      <c r="S132" s="1"/>
    </row>
    <row r="133" ht="12.75" customHeight="1">
      <c r="H133" s="1"/>
      <c r="I133" s="1"/>
      <c r="J133" s="1"/>
      <c r="K133" s="1"/>
      <c r="L133" s="1"/>
      <c r="M133" s="111"/>
      <c r="N133" s="1"/>
      <c r="O133" s="1"/>
      <c r="P133" s="1"/>
      <c r="Q133" s="1"/>
      <c r="R133" s="1"/>
      <c r="S133" s="1"/>
    </row>
    <row r="134" ht="12.75" customHeight="1">
      <c r="H134" s="1"/>
      <c r="I134" s="1"/>
      <c r="J134" s="1"/>
      <c r="K134" s="1"/>
      <c r="L134" s="1"/>
      <c r="M134" s="111"/>
      <c r="N134" s="1"/>
      <c r="O134" s="1"/>
      <c r="P134" s="1"/>
      <c r="Q134" s="1"/>
      <c r="R134" s="1"/>
      <c r="S134" s="1"/>
    </row>
    <row r="135" ht="12.75" customHeight="1">
      <c r="H135" s="1"/>
      <c r="I135" s="1"/>
      <c r="J135" s="1"/>
      <c r="K135" s="1"/>
      <c r="L135" s="1"/>
      <c r="M135" s="111"/>
      <c r="N135" s="1"/>
      <c r="O135" s="1"/>
      <c r="P135" s="1"/>
      <c r="Q135" s="1"/>
      <c r="R135" s="1"/>
      <c r="S135" s="1"/>
    </row>
    <row r="136" ht="12.75" customHeight="1">
      <c r="H136" s="1"/>
      <c r="I136" s="1"/>
      <c r="J136" s="1"/>
      <c r="K136" s="1"/>
      <c r="L136" s="1"/>
      <c r="M136" s="111"/>
      <c r="N136" s="1"/>
      <c r="O136" s="1"/>
      <c r="P136" s="1"/>
      <c r="Q136" s="1"/>
      <c r="R136" s="1"/>
      <c r="S136" s="1"/>
    </row>
    <row r="137" ht="12.75" customHeight="1">
      <c r="H137" s="1"/>
      <c r="I137" s="1"/>
      <c r="J137" s="1"/>
      <c r="K137" s="1"/>
      <c r="L137" s="1"/>
      <c r="M137" s="111"/>
      <c r="N137" s="1"/>
      <c r="O137" s="1"/>
      <c r="P137" s="1"/>
      <c r="Q137" s="1"/>
      <c r="R137" s="1"/>
      <c r="S137" s="1"/>
    </row>
    <row r="138" ht="12.75" customHeight="1">
      <c r="H138" s="1"/>
      <c r="I138" s="1"/>
      <c r="J138" s="1"/>
      <c r="K138" s="1"/>
      <c r="L138" s="1"/>
      <c r="M138" s="111"/>
      <c r="N138" s="1"/>
      <c r="O138" s="1"/>
      <c r="P138" s="1"/>
      <c r="Q138" s="1"/>
      <c r="R138" s="1"/>
      <c r="S138" s="1"/>
    </row>
    <row r="139" ht="12.75" customHeight="1">
      <c r="H139" s="1"/>
      <c r="I139" s="1"/>
      <c r="J139" s="1"/>
      <c r="K139" s="1"/>
      <c r="L139" s="1"/>
      <c r="M139" s="111"/>
      <c r="N139" s="1"/>
      <c r="O139" s="1"/>
      <c r="P139" s="1"/>
      <c r="Q139" s="1"/>
      <c r="R139" s="1"/>
      <c r="S139" s="1"/>
    </row>
    <row r="140" ht="12.75" customHeight="1">
      <c r="H140" s="1"/>
      <c r="I140" s="1"/>
      <c r="J140" s="1"/>
      <c r="K140" s="1"/>
      <c r="L140" s="1"/>
      <c r="M140" s="111"/>
      <c r="N140" s="1"/>
      <c r="O140" s="1"/>
      <c r="P140" s="1"/>
      <c r="Q140" s="1"/>
      <c r="R140" s="1"/>
      <c r="S140" s="1"/>
    </row>
    <row r="141" ht="12.75" customHeight="1">
      <c r="H141" s="1"/>
      <c r="I141" s="1"/>
      <c r="J141" s="1"/>
      <c r="K141" s="1"/>
      <c r="L141" s="1"/>
      <c r="M141" s="111"/>
      <c r="N141" s="1"/>
      <c r="O141" s="1"/>
      <c r="P141" s="1"/>
      <c r="Q141" s="1"/>
      <c r="R141" s="1"/>
      <c r="S141" s="1"/>
    </row>
    <row r="142" ht="12.75" customHeight="1">
      <c r="H142" s="1"/>
      <c r="I142" s="1"/>
      <c r="J142" s="1"/>
      <c r="K142" s="1"/>
      <c r="L142" s="1"/>
      <c r="M142" s="111"/>
      <c r="N142" s="1"/>
      <c r="O142" s="1"/>
      <c r="P142" s="1"/>
      <c r="Q142" s="1"/>
      <c r="R142" s="1"/>
      <c r="S142" s="1"/>
    </row>
    <row r="143" ht="12.75" customHeight="1">
      <c r="H143" s="1"/>
      <c r="I143" s="1"/>
      <c r="J143" s="1"/>
      <c r="K143" s="1"/>
      <c r="L143" s="1"/>
      <c r="M143" s="111"/>
      <c r="N143" s="1"/>
      <c r="O143" s="1"/>
      <c r="P143" s="1"/>
      <c r="Q143" s="1"/>
      <c r="R143" s="1"/>
      <c r="S143" s="1"/>
    </row>
    <row r="144" ht="12.75" customHeight="1">
      <c r="H144" s="1"/>
      <c r="I144" s="1"/>
      <c r="J144" s="1"/>
      <c r="K144" s="1"/>
      <c r="L144" s="1"/>
      <c r="M144" s="111"/>
      <c r="N144" s="1"/>
      <c r="O144" s="1"/>
      <c r="P144" s="1"/>
      <c r="Q144" s="1"/>
      <c r="R144" s="1"/>
      <c r="S144" s="1"/>
    </row>
    <row r="145" ht="12.75" customHeight="1">
      <c r="H145" s="1"/>
      <c r="I145" s="1"/>
      <c r="J145" s="1"/>
      <c r="K145" s="1"/>
      <c r="L145" s="1"/>
      <c r="M145" s="111"/>
      <c r="N145" s="1"/>
      <c r="O145" s="1"/>
      <c r="P145" s="1"/>
      <c r="Q145" s="1"/>
      <c r="R145" s="1"/>
      <c r="S145" s="1"/>
    </row>
    <row r="146" ht="12.75" customHeight="1">
      <c r="H146" s="1"/>
      <c r="I146" s="1"/>
      <c r="J146" s="1"/>
      <c r="K146" s="1"/>
      <c r="L146" s="1"/>
      <c r="M146" s="111"/>
      <c r="N146" s="1"/>
      <c r="O146" s="1"/>
      <c r="P146" s="1"/>
      <c r="Q146" s="1"/>
      <c r="R146" s="1"/>
      <c r="S146" s="1"/>
    </row>
    <row r="147" ht="12.75" customHeight="1">
      <c r="H147" s="1"/>
      <c r="I147" s="1"/>
      <c r="J147" s="1"/>
      <c r="K147" s="1"/>
      <c r="L147" s="1"/>
      <c r="M147" s="111"/>
      <c r="N147" s="1"/>
      <c r="O147" s="1"/>
      <c r="P147" s="1"/>
      <c r="Q147" s="1"/>
      <c r="R147" s="1"/>
      <c r="S147" s="1"/>
    </row>
    <row r="148" ht="12.75" customHeight="1">
      <c r="H148" s="1"/>
      <c r="I148" s="1"/>
      <c r="J148" s="1"/>
      <c r="K148" s="1"/>
      <c r="L148" s="1"/>
      <c r="M148" s="111"/>
      <c r="N148" s="1"/>
      <c r="O148" s="1"/>
      <c r="P148" s="1"/>
      <c r="Q148" s="1"/>
      <c r="R148" s="1"/>
      <c r="S148" s="1"/>
    </row>
    <row r="149" ht="12.75" customHeight="1">
      <c r="H149" s="1"/>
      <c r="I149" s="1"/>
      <c r="J149" s="1"/>
      <c r="K149" s="1"/>
      <c r="L149" s="1"/>
      <c r="M149" s="111"/>
      <c r="N149" s="1"/>
      <c r="O149" s="1"/>
      <c r="P149" s="1"/>
      <c r="Q149" s="1"/>
      <c r="R149" s="1"/>
      <c r="S149" s="1"/>
    </row>
    <row r="150" ht="12.75" customHeight="1">
      <c r="H150" s="1"/>
      <c r="I150" s="1"/>
      <c r="J150" s="1"/>
      <c r="K150" s="1"/>
      <c r="L150" s="1"/>
      <c r="M150" s="111"/>
      <c r="N150" s="1"/>
      <c r="O150" s="1"/>
      <c r="P150" s="1"/>
      <c r="Q150" s="1"/>
      <c r="R150" s="1"/>
      <c r="S150" s="1"/>
    </row>
    <row r="151" ht="12.75" customHeight="1">
      <c r="H151" s="1"/>
      <c r="I151" s="1"/>
      <c r="J151" s="1"/>
      <c r="K151" s="1"/>
      <c r="L151" s="1"/>
      <c r="M151" s="111"/>
      <c r="N151" s="1"/>
      <c r="O151" s="1"/>
      <c r="P151" s="1"/>
      <c r="Q151" s="1"/>
      <c r="R151" s="1"/>
      <c r="S151" s="1"/>
    </row>
    <row r="152" ht="12.75" customHeight="1">
      <c r="H152" s="1"/>
      <c r="I152" s="1"/>
      <c r="J152" s="1"/>
      <c r="K152" s="1"/>
      <c r="L152" s="1"/>
      <c r="M152" s="111"/>
      <c r="N152" s="1"/>
      <c r="O152" s="1"/>
      <c r="P152" s="1"/>
      <c r="Q152" s="1"/>
      <c r="R152" s="1"/>
      <c r="S152" s="1"/>
    </row>
    <row r="153" ht="12.75" customHeight="1">
      <c r="H153" s="1"/>
      <c r="I153" s="1"/>
      <c r="J153" s="1"/>
      <c r="K153" s="1"/>
      <c r="L153" s="1"/>
      <c r="M153" s="111"/>
      <c r="N153" s="1"/>
      <c r="O153" s="1"/>
      <c r="P153" s="1"/>
      <c r="Q153" s="1"/>
      <c r="R153" s="1"/>
      <c r="S153" s="1"/>
    </row>
    <row r="154" ht="12.75" customHeight="1">
      <c r="H154" s="1"/>
      <c r="I154" s="1"/>
      <c r="J154" s="1"/>
      <c r="K154" s="1"/>
      <c r="L154" s="1"/>
      <c r="M154" s="111"/>
      <c r="N154" s="1"/>
      <c r="O154" s="1"/>
      <c r="P154" s="1"/>
      <c r="Q154" s="1"/>
      <c r="R154" s="1"/>
      <c r="S154" s="1"/>
    </row>
    <row r="155" ht="12.75" customHeight="1">
      <c r="H155" s="1"/>
      <c r="I155" s="1"/>
      <c r="J155" s="1"/>
      <c r="K155" s="1"/>
      <c r="L155" s="1"/>
      <c r="M155" s="111"/>
      <c r="N155" s="1"/>
      <c r="O155" s="1"/>
      <c r="P155" s="1"/>
      <c r="Q155" s="1"/>
      <c r="R155" s="1"/>
      <c r="S155" s="1"/>
    </row>
    <row r="156" ht="12.75" customHeight="1">
      <c r="H156" s="1"/>
      <c r="I156" s="1"/>
      <c r="J156" s="1"/>
      <c r="K156" s="1"/>
      <c r="L156" s="1"/>
      <c r="M156" s="111"/>
      <c r="N156" s="1"/>
      <c r="O156" s="1"/>
      <c r="P156" s="1"/>
      <c r="Q156" s="1"/>
      <c r="R156" s="1"/>
      <c r="S156" s="1"/>
    </row>
    <row r="157" ht="12.75" customHeight="1">
      <c r="H157" s="1"/>
      <c r="I157" s="1"/>
      <c r="J157" s="1"/>
      <c r="K157" s="1"/>
      <c r="L157" s="1"/>
      <c r="M157" s="111"/>
      <c r="N157" s="1"/>
      <c r="O157" s="1"/>
      <c r="P157" s="1"/>
      <c r="Q157" s="1"/>
      <c r="R157" s="1"/>
      <c r="S157" s="1"/>
    </row>
    <row r="158" ht="12.75" customHeight="1">
      <c r="H158" s="1"/>
      <c r="I158" s="1"/>
      <c r="J158" s="1"/>
      <c r="K158" s="1"/>
      <c r="L158" s="1"/>
      <c r="M158" s="111"/>
      <c r="N158" s="1"/>
      <c r="O158" s="1"/>
      <c r="P158" s="1"/>
      <c r="Q158" s="1"/>
      <c r="R158" s="1"/>
      <c r="S158" s="1"/>
    </row>
    <row r="159" ht="12.75" customHeight="1">
      <c r="H159" s="1"/>
      <c r="I159" s="1"/>
      <c r="J159" s="1"/>
      <c r="K159" s="1"/>
      <c r="L159" s="1"/>
      <c r="M159" s="111"/>
      <c r="N159" s="1"/>
      <c r="O159" s="1"/>
      <c r="P159" s="1"/>
      <c r="Q159" s="1"/>
      <c r="R159" s="1"/>
      <c r="S159" s="1"/>
    </row>
    <row r="160" ht="12.75" customHeight="1">
      <c r="H160" s="1"/>
      <c r="I160" s="1"/>
      <c r="J160" s="1"/>
      <c r="K160" s="1"/>
      <c r="L160" s="1"/>
      <c r="M160" s="111"/>
      <c r="N160" s="1"/>
      <c r="O160" s="1"/>
      <c r="P160" s="1"/>
      <c r="Q160" s="1"/>
      <c r="R160" s="1"/>
      <c r="S160" s="1"/>
    </row>
    <row r="161" ht="12.75" customHeight="1">
      <c r="H161" s="1"/>
      <c r="I161" s="1"/>
      <c r="J161" s="1"/>
      <c r="K161" s="1"/>
      <c r="L161" s="1"/>
      <c r="M161" s="111"/>
      <c r="N161" s="1"/>
      <c r="O161" s="1"/>
      <c r="P161" s="1"/>
      <c r="Q161" s="1"/>
      <c r="R161" s="1"/>
      <c r="S161" s="1"/>
    </row>
    <row r="162" ht="12.75" customHeight="1">
      <c r="H162" s="1"/>
      <c r="I162" s="1"/>
      <c r="J162" s="1"/>
      <c r="K162" s="1"/>
      <c r="L162" s="1"/>
      <c r="M162" s="111"/>
      <c r="N162" s="1"/>
      <c r="O162" s="1"/>
      <c r="P162" s="1"/>
      <c r="Q162" s="1"/>
      <c r="R162" s="1"/>
      <c r="S162" s="1"/>
    </row>
    <row r="163" ht="12.75" customHeight="1">
      <c r="H163" s="1"/>
      <c r="I163" s="1"/>
      <c r="J163" s="1"/>
      <c r="K163" s="1"/>
      <c r="L163" s="1"/>
      <c r="M163" s="111"/>
      <c r="N163" s="1"/>
      <c r="O163" s="1"/>
      <c r="P163" s="1"/>
      <c r="Q163" s="1"/>
      <c r="R163" s="1"/>
      <c r="S163" s="1"/>
    </row>
    <row r="164" ht="12.75" customHeight="1">
      <c r="H164" s="1"/>
      <c r="I164" s="1"/>
      <c r="J164" s="1"/>
      <c r="K164" s="1"/>
      <c r="L164" s="1"/>
      <c r="M164" s="111"/>
      <c r="N164" s="1"/>
      <c r="O164" s="1"/>
      <c r="P164" s="1"/>
      <c r="Q164" s="1"/>
      <c r="R164" s="1"/>
      <c r="S164" s="1"/>
    </row>
    <row r="165" ht="12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11"/>
      <c r="N165" s="1"/>
      <c r="O165" s="1"/>
      <c r="P165" s="1"/>
      <c r="Q165" s="1"/>
      <c r="R165" s="1"/>
      <c r="S165" s="1"/>
    </row>
    <row r="166" ht="12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11"/>
      <c r="N166" s="1"/>
      <c r="O166" s="1"/>
      <c r="P166" s="1"/>
      <c r="Q166" s="1"/>
      <c r="R166" s="1"/>
      <c r="S166" s="1"/>
    </row>
    <row r="167" ht="12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11"/>
      <c r="N167" s="1"/>
      <c r="O167" s="1"/>
      <c r="P167" s="1"/>
      <c r="Q167" s="1"/>
      <c r="R167" s="1"/>
      <c r="S167" s="1"/>
    </row>
    <row r="168" ht="12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11"/>
      <c r="N168" s="1"/>
      <c r="O168" s="1"/>
      <c r="P168" s="1"/>
      <c r="Q168" s="1"/>
      <c r="R168" s="1"/>
      <c r="S168" s="1"/>
    </row>
    <row r="169" ht="12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11"/>
      <c r="N169" s="1"/>
      <c r="O169" s="1"/>
      <c r="P169" s="1"/>
      <c r="Q169" s="1"/>
      <c r="R169" s="1"/>
      <c r="S169" s="1"/>
    </row>
    <row r="170" ht="12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11"/>
      <c r="N170" s="1"/>
      <c r="O170" s="1"/>
      <c r="P170" s="1"/>
      <c r="Q170" s="1"/>
      <c r="R170" s="1"/>
      <c r="S170" s="1"/>
    </row>
    <row r="171" ht="12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11"/>
      <c r="N171" s="1"/>
      <c r="O171" s="1"/>
      <c r="P171" s="1"/>
      <c r="Q171" s="1"/>
      <c r="R171" s="1"/>
      <c r="S171" s="1"/>
    </row>
    <row r="172" ht="12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11"/>
      <c r="N172" s="1"/>
      <c r="O172" s="1"/>
      <c r="P172" s="1"/>
      <c r="Q172" s="1"/>
      <c r="R172" s="1"/>
      <c r="S172" s="1"/>
    </row>
    <row r="173" ht="12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11"/>
      <c r="N173" s="1"/>
      <c r="O173" s="1"/>
      <c r="P173" s="1"/>
      <c r="Q173" s="1"/>
      <c r="R173" s="1"/>
      <c r="S173" s="1"/>
    </row>
    <row r="174" ht="12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11"/>
      <c r="N174" s="1"/>
      <c r="O174" s="1"/>
      <c r="P174" s="1"/>
      <c r="Q174" s="1"/>
      <c r="R174" s="1"/>
      <c r="S174" s="1"/>
    </row>
    <row r="175" ht="12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11"/>
      <c r="N175" s="1"/>
      <c r="O175" s="1"/>
      <c r="P175" s="1"/>
      <c r="Q175" s="1"/>
      <c r="R175" s="1"/>
      <c r="S175" s="1"/>
    </row>
    <row r="176" ht="12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11"/>
      <c r="N176" s="1"/>
      <c r="O176" s="1"/>
      <c r="P176" s="1"/>
      <c r="Q176" s="1"/>
      <c r="R176" s="1"/>
      <c r="S176" s="1"/>
    </row>
    <row r="177" ht="12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11"/>
      <c r="N177" s="1"/>
      <c r="O177" s="1"/>
      <c r="P177" s="1"/>
      <c r="Q177" s="1"/>
      <c r="R177" s="1"/>
      <c r="S177" s="1"/>
    </row>
    <row r="178" ht="12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11"/>
      <c r="N178" s="1"/>
      <c r="O178" s="1"/>
      <c r="P178" s="1"/>
      <c r="Q178" s="1"/>
      <c r="R178" s="1"/>
      <c r="S178" s="1"/>
    </row>
    <row r="179" ht="12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11"/>
      <c r="N179" s="1"/>
      <c r="O179" s="1"/>
      <c r="P179" s="1"/>
      <c r="Q179" s="1"/>
      <c r="R179" s="1"/>
      <c r="S179" s="1"/>
    </row>
    <row r="180" ht="12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11"/>
      <c r="N180" s="1"/>
      <c r="O180" s="1"/>
      <c r="P180" s="1"/>
      <c r="Q180" s="1"/>
      <c r="R180" s="1"/>
      <c r="S180" s="1"/>
    </row>
    <row r="181" ht="12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11"/>
      <c r="N181" s="1"/>
      <c r="O181" s="1"/>
      <c r="P181" s="1"/>
      <c r="Q181" s="1"/>
      <c r="R181" s="1"/>
      <c r="S181" s="1"/>
    </row>
    <row r="182" ht="12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11"/>
      <c r="N182" s="1"/>
      <c r="O182" s="1"/>
      <c r="P182" s="1"/>
      <c r="Q182" s="1"/>
      <c r="R182" s="1"/>
      <c r="S182" s="1"/>
    </row>
    <row r="183" ht="12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11"/>
      <c r="N183" s="1"/>
      <c r="O183" s="1"/>
      <c r="P183" s="1"/>
      <c r="Q183" s="1"/>
      <c r="R183" s="1"/>
      <c r="S183" s="1"/>
    </row>
    <row r="184" ht="12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11"/>
      <c r="N184" s="1"/>
      <c r="O184" s="1"/>
      <c r="P184" s="1"/>
      <c r="Q184" s="1"/>
      <c r="R184" s="1"/>
      <c r="S184" s="1"/>
    </row>
    <row r="185" ht="12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11"/>
      <c r="N185" s="1"/>
      <c r="O185" s="1"/>
      <c r="P185" s="1"/>
      <c r="Q185" s="1"/>
      <c r="R185" s="1"/>
      <c r="S185" s="1"/>
    </row>
    <row r="186" ht="12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11"/>
      <c r="N186" s="1"/>
      <c r="O186" s="1"/>
      <c r="P186" s="1"/>
      <c r="Q186" s="1"/>
      <c r="R186" s="1"/>
      <c r="S186" s="1"/>
    </row>
    <row r="187" ht="12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11"/>
      <c r="N187" s="1"/>
      <c r="O187" s="1"/>
      <c r="P187" s="1"/>
      <c r="Q187" s="1"/>
      <c r="R187" s="1"/>
      <c r="S187" s="1"/>
    </row>
    <row r="188" ht="12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11"/>
      <c r="N188" s="1"/>
      <c r="O188" s="1"/>
      <c r="P188" s="1"/>
      <c r="Q188" s="1"/>
      <c r="R188" s="1"/>
      <c r="S188" s="1"/>
    </row>
    <row r="189" ht="12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11"/>
      <c r="N189" s="1"/>
      <c r="O189" s="1"/>
      <c r="P189" s="1"/>
      <c r="Q189" s="1"/>
      <c r="R189" s="1"/>
      <c r="S189" s="1"/>
    </row>
    <row r="190" ht="12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11"/>
      <c r="N190" s="1"/>
      <c r="O190" s="1"/>
      <c r="P190" s="1"/>
      <c r="Q190" s="1"/>
      <c r="R190" s="1"/>
      <c r="S190" s="1"/>
    </row>
    <row r="191" ht="12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11"/>
      <c r="N191" s="1"/>
      <c r="O191" s="1"/>
      <c r="P191" s="1"/>
      <c r="Q191" s="1"/>
      <c r="R191" s="1"/>
      <c r="S191" s="1"/>
    </row>
    <row r="192" ht="12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11"/>
      <c r="N192" s="1"/>
      <c r="O192" s="1"/>
      <c r="P192" s="1"/>
      <c r="Q192" s="1"/>
      <c r="R192" s="1"/>
      <c r="S192" s="1"/>
    </row>
    <row r="193" ht="12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11"/>
      <c r="N193" s="1"/>
      <c r="O193" s="1"/>
      <c r="P193" s="1"/>
      <c r="Q193" s="1"/>
      <c r="R193" s="1"/>
      <c r="S193" s="1"/>
    </row>
    <row r="194" ht="12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11"/>
      <c r="N194" s="1"/>
      <c r="O194" s="1"/>
      <c r="P194" s="1"/>
      <c r="Q194" s="1"/>
      <c r="R194" s="1"/>
      <c r="S194" s="1"/>
    </row>
    <row r="195" ht="12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11"/>
      <c r="N195" s="1"/>
      <c r="O195" s="1"/>
      <c r="P195" s="1"/>
      <c r="Q195" s="1"/>
      <c r="R195" s="1"/>
      <c r="S195" s="1"/>
    </row>
    <row r="196" ht="12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11"/>
      <c r="N196" s="1"/>
      <c r="O196" s="1"/>
      <c r="P196" s="1"/>
      <c r="Q196" s="1"/>
      <c r="R196" s="1"/>
      <c r="S196" s="1"/>
    </row>
    <row r="197" ht="12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11"/>
      <c r="N197" s="1"/>
      <c r="O197" s="1"/>
      <c r="P197" s="1"/>
      <c r="Q197" s="1"/>
      <c r="R197" s="1"/>
      <c r="S197" s="1"/>
    </row>
    <row r="198" ht="12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11"/>
      <c r="N198" s="1"/>
      <c r="O198" s="1"/>
      <c r="P198" s="1"/>
      <c r="Q198" s="1"/>
      <c r="R198" s="1"/>
      <c r="S198" s="1"/>
    </row>
    <row r="199" ht="12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11"/>
      <c r="N199" s="1"/>
      <c r="O199" s="1"/>
      <c r="P199" s="1"/>
      <c r="Q199" s="1"/>
      <c r="R199" s="1"/>
      <c r="S199" s="1"/>
    </row>
    <row r="200" ht="12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11"/>
      <c r="N200" s="1"/>
      <c r="O200" s="1"/>
      <c r="P200" s="1"/>
      <c r="Q200" s="1"/>
      <c r="R200" s="1"/>
      <c r="S200" s="1"/>
    </row>
    <row r="201" ht="12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11"/>
      <c r="N201" s="1"/>
      <c r="O201" s="1"/>
      <c r="P201" s="1"/>
      <c r="Q201" s="1"/>
      <c r="R201" s="1"/>
      <c r="S201" s="1"/>
    </row>
    <row r="202" ht="12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11"/>
      <c r="N202" s="1"/>
      <c r="O202" s="1"/>
      <c r="P202" s="1"/>
      <c r="Q202" s="1"/>
      <c r="R202" s="1"/>
      <c r="S202" s="1"/>
    </row>
    <row r="203" ht="12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11"/>
      <c r="N203" s="1"/>
      <c r="O203" s="1"/>
      <c r="P203" s="1"/>
      <c r="Q203" s="1"/>
      <c r="R203" s="1"/>
      <c r="S203" s="1"/>
    </row>
    <row r="204" ht="12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11"/>
      <c r="N204" s="1"/>
      <c r="O204" s="1"/>
      <c r="P204" s="1"/>
      <c r="Q204" s="1"/>
      <c r="R204" s="1"/>
      <c r="S204" s="1"/>
    </row>
    <row r="205" ht="12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11"/>
      <c r="N205" s="1"/>
      <c r="O205" s="1"/>
      <c r="P205" s="1"/>
      <c r="Q205" s="1"/>
      <c r="R205" s="1"/>
      <c r="S205" s="1"/>
    </row>
    <row r="206" ht="12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11"/>
      <c r="N206" s="1"/>
      <c r="O206" s="1"/>
      <c r="P206" s="1"/>
      <c r="Q206" s="1"/>
      <c r="R206" s="1"/>
      <c r="S206" s="1"/>
    </row>
    <row r="207" ht="12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11"/>
      <c r="N207" s="1"/>
      <c r="O207" s="1"/>
      <c r="P207" s="1"/>
      <c r="Q207" s="1"/>
      <c r="R207" s="1"/>
      <c r="S207" s="1"/>
    </row>
    <row r="208" ht="12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11"/>
      <c r="N208" s="1"/>
      <c r="O208" s="1"/>
      <c r="P208" s="1"/>
      <c r="Q208" s="1"/>
      <c r="R208" s="1"/>
      <c r="S208" s="1"/>
    </row>
    <row r="209" ht="12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11"/>
      <c r="N209" s="1"/>
      <c r="O209" s="1"/>
      <c r="P209" s="1"/>
      <c r="Q209" s="1"/>
      <c r="R209" s="1"/>
      <c r="S209" s="1"/>
    </row>
    <row r="210" ht="12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11"/>
      <c r="N210" s="1"/>
      <c r="O210" s="1"/>
      <c r="P210" s="1"/>
      <c r="Q210" s="1"/>
      <c r="R210" s="1"/>
      <c r="S210" s="1"/>
    </row>
    <row r="211" ht="12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11"/>
      <c r="N211" s="1"/>
      <c r="O211" s="1"/>
      <c r="P211" s="1"/>
      <c r="Q211" s="1"/>
      <c r="R211" s="1"/>
      <c r="S211" s="1"/>
    </row>
    <row r="212" ht="12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11"/>
      <c r="N212" s="1"/>
      <c r="O212" s="1"/>
      <c r="P212" s="1"/>
      <c r="Q212" s="1"/>
      <c r="R212" s="1"/>
      <c r="S212" s="1"/>
    </row>
    <row r="213" ht="12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11"/>
      <c r="N213" s="1"/>
      <c r="O213" s="1"/>
      <c r="P213" s="1"/>
      <c r="Q213" s="1"/>
      <c r="R213" s="1"/>
      <c r="S213" s="1"/>
    </row>
    <row r="214" ht="12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11"/>
      <c r="N214" s="1"/>
      <c r="O214" s="1"/>
      <c r="P214" s="1"/>
      <c r="Q214" s="1"/>
      <c r="R214" s="1"/>
      <c r="S214" s="1"/>
    </row>
    <row r="215" ht="12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11"/>
      <c r="N215" s="1"/>
      <c r="O215" s="1"/>
      <c r="P215" s="1"/>
      <c r="Q215" s="1"/>
      <c r="R215" s="1"/>
      <c r="S215" s="1"/>
    </row>
    <row r="216" ht="12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11"/>
      <c r="N216" s="1"/>
      <c r="O216" s="1"/>
      <c r="P216" s="1"/>
      <c r="Q216" s="1"/>
      <c r="R216" s="1"/>
      <c r="S216" s="1"/>
    </row>
    <row r="217" ht="12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11"/>
      <c r="N217" s="1"/>
      <c r="O217" s="1"/>
      <c r="P217" s="1"/>
      <c r="Q217" s="1"/>
      <c r="R217" s="1"/>
      <c r="S217" s="1"/>
    </row>
    <row r="218" ht="12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11"/>
      <c r="N218" s="1"/>
      <c r="O218" s="1"/>
      <c r="P218" s="1"/>
      <c r="Q218" s="1"/>
      <c r="R218" s="1"/>
      <c r="S218" s="1"/>
    </row>
    <row r="219" ht="12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11"/>
      <c r="N219" s="1"/>
      <c r="O219" s="1"/>
      <c r="P219" s="1"/>
      <c r="Q219" s="1"/>
      <c r="R219" s="1"/>
      <c r="S219" s="1"/>
    </row>
    <row r="220" ht="12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11"/>
      <c r="N220" s="1"/>
      <c r="O220" s="1"/>
      <c r="P220" s="1"/>
      <c r="Q220" s="1"/>
      <c r="R220" s="1"/>
      <c r="S220" s="1"/>
    </row>
    <row r="221" ht="12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11"/>
      <c r="N221" s="1"/>
      <c r="O221" s="1"/>
      <c r="P221" s="1"/>
      <c r="Q221" s="1"/>
      <c r="R221" s="1"/>
      <c r="S221" s="1"/>
    </row>
    <row r="222" ht="12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11"/>
      <c r="N222" s="1"/>
      <c r="O222" s="1"/>
      <c r="P222" s="1"/>
      <c r="Q222" s="1"/>
      <c r="R222" s="1"/>
      <c r="S222" s="1"/>
    </row>
    <row r="223" ht="12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11"/>
      <c r="N223" s="1"/>
      <c r="O223" s="1"/>
      <c r="P223" s="1"/>
      <c r="Q223" s="1"/>
      <c r="R223" s="1"/>
      <c r="S223" s="1"/>
    </row>
    <row r="224" ht="12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11"/>
      <c r="N224" s="1"/>
      <c r="O224" s="1"/>
      <c r="P224" s="1"/>
      <c r="Q224" s="1"/>
      <c r="R224" s="1"/>
      <c r="S224" s="1"/>
    </row>
    <row r="225" ht="12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11"/>
      <c r="N225" s="1"/>
      <c r="O225" s="1"/>
      <c r="P225" s="1"/>
      <c r="Q225" s="1"/>
      <c r="R225" s="1"/>
      <c r="S225" s="1"/>
    </row>
    <row r="226" ht="12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11"/>
      <c r="N226" s="1"/>
      <c r="O226" s="1"/>
      <c r="P226" s="1"/>
      <c r="Q226" s="1"/>
      <c r="R226" s="1"/>
      <c r="S226" s="1"/>
    </row>
    <row r="227" ht="12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11"/>
      <c r="N227" s="1"/>
      <c r="O227" s="1"/>
      <c r="P227" s="1"/>
      <c r="Q227" s="1"/>
      <c r="R227" s="1"/>
      <c r="S227" s="1"/>
    </row>
    <row r="228" ht="12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11"/>
      <c r="N228" s="1"/>
      <c r="O228" s="1"/>
      <c r="P228" s="1"/>
      <c r="Q228" s="1"/>
      <c r="R228" s="1"/>
      <c r="S228" s="1"/>
    </row>
    <row r="229" ht="12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11"/>
      <c r="N229" s="1"/>
      <c r="O229" s="1"/>
      <c r="P229" s="1"/>
      <c r="Q229" s="1"/>
      <c r="R229" s="1"/>
      <c r="S229" s="1"/>
    </row>
    <row r="230" ht="12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11"/>
      <c r="N230" s="1"/>
      <c r="O230" s="1"/>
      <c r="P230" s="1"/>
      <c r="Q230" s="1"/>
      <c r="R230" s="1"/>
      <c r="S230" s="1"/>
    </row>
    <row r="231" ht="12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11"/>
      <c r="N231" s="1"/>
      <c r="O231" s="1"/>
      <c r="P231" s="1"/>
      <c r="Q231" s="1"/>
      <c r="R231" s="1"/>
      <c r="S231" s="1"/>
    </row>
    <row r="232" ht="12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11"/>
      <c r="N232" s="1"/>
      <c r="O232" s="1"/>
      <c r="P232" s="1"/>
      <c r="Q232" s="1"/>
      <c r="R232" s="1"/>
      <c r="S232" s="1"/>
    </row>
    <row r="233" ht="12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11"/>
      <c r="N233" s="1"/>
      <c r="O233" s="1"/>
      <c r="P233" s="1"/>
      <c r="Q233" s="1"/>
      <c r="R233" s="1"/>
      <c r="S233" s="1"/>
    </row>
    <row r="234" ht="12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11"/>
      <c r="N234" s="1"/>
      <c r="O234" s="1"/>
      <c r="P234" s="1"/>
      <c r="Q234" s="1"/>
      <c r="R234" s="1"/>
      <c r="S234" s="1"/>
    </row>
    <row r="235" ht="12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11"/>
      <c r="N235" s="1"/>
      <c r="O235" s="1"/>
      <c r="P235" s="1"/>
      <c r="Q235" s="1"/>
      <c r="R235" s="1"/>
      <c r="S235" s="1"/>
    </row>
    <row r="236" ht="12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11"/>
      <c r="N236" s="1"/>
      <c r="O236" s="1"/>
      <c r="P236" s="1"/>
      <c r="Q236" s="1"/>
      <c r="R236" s="1"/>
      <c r="S236" s="1"/>
    </row>
    <row r="237" ht="12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11"/>
      <c r="N237" s="1"/>
      <c r="O237" s="1"/>
      <c r="P237" s="1"/>
      <c r="Q237" s="1"/>
      <c r="R237" s="1"/>
      <c r="S237" s="1"/>
    </row>
    <row r="238" ht="12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11"/>
      <c r="N238" s="1"/>
      <c r="O238" s="1"/>
      <c r="P238" s="1"/>
      <c r="Q238" s="1"/>
      <c r="R238" s="1"/>
      <c r="S238" s="1"/>
    </row>
    <row r="239" ht="12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11"/>
      <c r="N239" s="1"/>
      <c r="O239" s="1"/>
      <c r="P239" s="1"/>
      <c r="Q239" s="1"/>
      <c r="R239" s="1"/>
      <c r="S239" s="1"/>
    </row>
    <row r="240" ht="12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11"/>
      <c r="N240" s="1"/>
      <c r="O240" s="1"/>
      <c r="P240" s="1"/>
      <c r="Q240" s="1"/>
      <c r="R240" s="1"/>
      <c r="S240" s="1"/>
    </row>
    <row r="241" ht="12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11"/>
      <c r="N241" s="1"/>
      <c r="O241" s="1"/>
      <c r="P241" s="1"/>
      <c r="Q241" s="1"/>
      <c r="R241" s="1"/>
      <c r="S241" s="1"/>
    </row>
    <row r="242" ht="12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11"/>
      <c r="N242" s="1"/>
      <c r="O242" s="1"/>
      <c r="P242" s="1"/>
      <c r="Q242" s="1"/>
      <c r="R242" s="1"/>
      <c r="S242" s="1"/>
    </row>
    <row r="243" ht="12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11"/>
      <c r="N243" s="1"/>
      <c r="O243" s="1"/>
      <c r="P243" s="1"/>
      <c r="Q243" s="1"/>
      <c r="R243" s="1"/>
      <c r="S243" s="1"/>
    </row>
    <row r="244" ht="12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11"/>
      <c r="N244" s="1"/>
      <c r="O244" s="1"/>
      <c r="P244" s="1"/>
      <c r="Q244" s="1"/>
      <c r="R244" s="1"/>
      <c r="S244" s="1"/>
    </row>
    <row r="245" ht="12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11"/>
      <c r="N245" s="1"/>
      <c r="O245" s="1"/>
      <c r="P245" s="1"/>
      <c r="Q245" s="1"/>
      <c r="R245" s="1"/>
      <c r="S245" s="1"/>
    </row>
    <row r="246" ht="12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11"/>
      <c r="N246" s="1"/>
      <c r="O246" s="1"/>
      <c r="P246" s="1"/>
      <c r="Q246" s="1"/>
      <c r="R246" s="1"/>
      <c r="S246" s="1"/>
    </row>
    <row r="247" ht="12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11"/>
      <c r="N247" s="1"/>
      <c r="O247" s="1"/>
      <c r="P247" s="1"/>
      <c r="Q247" s="1"/>
      <c r="R247" s="1"/>
      <c r="S247" s="1"/>
    </row>
    <row r="248" ht="12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11"/>
      <c r="N248" s="1"/>
      <c r="O248" s="1"/>
      <c r="P248" s="1"/>
      <c r="Q248" s="1"/>
      <c r="R248" s="1"/>
      <c r="S248" s="1"/>
    </row>
    <row r="249" ht="12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11"/>
      <c r="N249" s="1"/>
      <c r="O249" s="1"/>
      <c r="P249" s="1"/>
      <c r="Q249" s="1"/>
      <c r="R249" s="1"/>
      <c r="S249" s="1"/>
    </row>
    <row r="250" ht="12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11"/>
      <c r="N250" s="1"/>
      <c r="O250" s="1"/>
      <c r="P250" s="1"/>
      <c r="Q250" s="1"/>
      <c r="R250" s="1"/>
      <c r="S250" s="1"/>
    </row>
    <row r="251" ht="12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11"/>
      <c r="N251" s="1"/>
      <c r="O251" s="1"/>
      <c r="P251" s="1"/>
      <c r="Q251" s="1"/>
      <c r="R251" s="1"/>
      <c r="S251" s="1"/>
    </row>
    <row r="252" ht="12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11"/>
      <c r="N252" s="1"/>
      <c r="O252" s="1"/>
      <c r="P252" s="1"/>
      <c r="Q252" s="1"/>
      <c r="R252" s="1"/>
      <c r="S252" s="1"/>
    </row>
    <row r="253" ht="12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11"/>
      <c r="N253" s="1"/>
      <c r="O253" s="1"/>
      <c r="P253" s="1"/>
      <c r="Q253" s="1"/>
      <c r="R253" s="1"/>
      <c r="S253" s="1"/>
    </row>
    <row r="254" ht="12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11"/>
      <c r="N254" s="1"/>
      <c r="O254" s="1"/>
      <c r="P254" s="1"/>
      <c r="Q254" s="1"/>
      <c r="R254" s="1"/>
      <c r="S254" s="1"/>
    </row>
    <row r="255" ht="12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11"/>
      <c r="N255" s="1"/>
      <c r="O255" s="1"/>
      <c r="P255" s="1"/>
      <c r="Q255" s="1"/>
      <c r="R255" s="1"/>
      <c r="S255" s="1"/>
    </row>
    <row r="256" ht="12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11"/>
      <c r="N256" s="1"/>
      <c r="O256" s="1"/>
      <c r="P256" s="1"/>
      <c r="Q256" s="1"/>
      <c r="R256" s="1"/>
      <c r="S256" s="1"/>
    </row>
    <row r="257" ht="12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11"/>
      <c r="N257" s="1"/>
      <c r="O257" s="1"/>
      <c r="P257" s="1"/>
      <c r="Q257" s="1"/>
      <c r="R257" s="1"/>
      <c r="S257" s="1"/>
    </row>
    <row r="258" ht="12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11"/>
      <c r="N258" s="1"/>
      <c r="O258" s="1"/>
      <c r="P258" s="1"/>
      <c r="Q258" s="1"/>
      <c r="R258" s="1"/>
      <c r="S258" s="1"/>
    </row>
    <row r="259" ht="12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11"/>
      <c r="N259" s="1"/>
      <c r="O259" s="1"/>
      <c r="P259" s="1"/>
      <c r="Q259" s="1"/>
      <c r="R259" s="1"/>
      <c r="S259" s="1"/>
    </row>
    <row r="260" ht="12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11"/>
      <c r="N260" s="1"/>
      <c r="O260" s="1"/>
      <c r="P260" s="1"/>
      <c r="Q260" s="1"/>
      <c r="R260" s="1"/>
      <c r="S260" s="1"/>
    </row>
    <row r="261" ht="12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11"/>
      <c r="N261" s="1"/>
      <c r="O261" s="1"/>
      <c r="P261" s="1"/>
      <c r="Q261" s="1"/>
      <c r="R261" s="1"/>
      <c r="S261" s="1"/>
    </row>
    <row r="262" ht="12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11"/>
      <c r="N262" s="1"/>
      <c r="O262" s="1"/>
      <c r="P262" s="1"/>
      <c r="Q262" s="1"/>
      <c r="R262" s="1"/>
      <c r="S262" s="1"/>
    </row>
    <row r="263" ht="12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11"/>
      <c r="N263" s="1"/>
      <c r="O263" s="1"/>
      <c r="P263" s="1"/>
      <c r="Q263" s="1"/>
      <c r="R263" s="1"/>
      <c r="S263" s="1"/>
    </row>
    <row r="264" ht="12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11"/>
      <c r="N264" s="1"/>
      <c r="O264" s="1"/>
      <c r="P264" s="1"/>
      <c r="Q264" s="1"/>
      <c r="R264" s="1"/>
      <c r="S264" s="1"/>
    </row>
    <row r="265" ht="12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11"/>
      <c r="N265" s="1"/>
      <c r="O265" s="1"/>
      <c r="P265" s="1"/>
      <c r="Q265" s="1"/>
      <c r="R265" s="1"/>
      <c r="S265" s="1"/>
    </row>
    <row r="266" ht="12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11"/>
      <c r="N266" s="1"/>
      <c r="O266" s="1"/>
      <c r="P266" s="1"/>
      <c r="Q266" s="1"/>
      <c r="R266" s="1"/>
      <c r="S266" s="1"/>
    </row>
    <row r="267" ht="12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11"/>
      <c r="N267" s="1"/>
      <c r="O267" s="1"/>
      <c r="P267" s="1"/>
      <c r="Q267" s="1"/>
      <c r="R267" s="1"/>
      <c r="S267" s="1"/>
    </row>
    <row r="268" ht="12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11"/>
      <c r="N268" s="1"/>
      <c r="O268" s="1"/>
      <c r="P268" s="1"/>
      <c r="Q268" s="1"/>
      <c r="R268" s="1"/>
      <c r="S268" s="1"/>
    </row>
    <row r="269" ht="12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11"/>
      <c r="N269" s="1"/>
      <c r="O269" s="1"/>
      <c r="P269" s="1"/>
      <c r="Q269" s="1"/>
      <c r="R269" s="1"/>
      <c r="S269" s="1"/>
    </row>
    <row r="270" ht="12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11"/>
      <c r="N270" s="1"/>
      <c r="O270" s="1"/>
      <c r="P270" s="1"/>
      <c r="Q270" s="1"/>
      <c r="R270" s="1"/>
      <c r="S270" s="1"/>
    </row>
    <row r="271" ht="12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11"/>
      <c r="N271" s="1"/>
      <c r="O271" s="1"/>
      <c r="P271" s="1"/>
      <c r="Q271" s="1"/>
      <c r="R271" s="1"/>
      <c r="S271" s="1"/>
    </row>
    <row r="272" ht="12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11"/>
      <c r="N272" s="1"/>
      <c r="O272" s="1"/>
      <c r="P272" s="1"/>
      <c r="Q272" s="1"/>
      <c r="R272" s="1"/>
      <c r="S272" s="1"/>
    </row>
    <row r="273" ht="12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11"/>
      <c r="N273" s="1"/>
      <c r="O273" s="1"/>
      <c r="P273" s="1"/>
      <c r="Q273" s="1"/>
      <c r="R273" s="1"/>
      <c r="S273" s="1"/>
    </row>
    <row r="274" ht="12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11"/>
      <c r="N274" s="1"/>
      <c r="O274" s="1"/>
      <c r="P274" s="1"/>
      <c r="Q274" s="1"/>
      <c r="R274" s="1"/>
      <c r="S274" s="1"/>
    </row>
    <row r="275" ht="12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11"/>
      <c r="N275" s="1"/>
      <c r="O275" s="1"/>
      <c r="P275" s="1"/>
      <c r="Q275" s="1"/>
      <c r="R275" s="1"/>
      <c r="S275" s="1"/>
    </row>
    <row r="276" ht="12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11"/>
      <c r="N276" s="1"/>
      <c r="O276" s="1"/>
      <c r="P276" s="1"/>
      <c r="Q276" s="1"/>
      <c r="R276" s="1"/>
      <c r="S276" s="1"/>
    </row>
    <row r="277" ht="12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11"/>
      <c r="N277" s="1"/>
      <c r="O277" s="1"/>
      <c r="P277" s="1"/>
      <c r="Q277" s="1"/>
      <c r="R277" s="1"/>
      <c r="S277" s="1"/>
    </row>
    <row r="278" ht="12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11"/>
      <c r="N278" s="1"/>
      <c r="O278" s="1"/>
      <c r="P278" s="1"/>
      <c r="Q278" s="1"/>
      <c r="R278" s="1"/>
      <c r="S278" s="1"/>
    </row>
    <row r="279" ht="12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11"/>
      <c r="N279" s="1"/>
      <c r="O279" s="1"/>
      <c r="P279" s="1"/>
      <c r="Q279" s="1"/>
      <c r="R279" s="1"/>
      <c r="S279" s="1"/>
    </row>
    <row r="280" ht="12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11"/>
      <c r="N280" s="1"/>
      <c r="O280" s="1"/>
      <c r="P280" s="1"/>
      <c r="Q280" s="1"/>
      <c r="R280" s="1"/>
      <c r="S280" s="1"/>
    </row>
    <row r="281" ht="12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11"/>
      <c r="N281" s="1"/>
      <c r="O281" s="1"/>
      <c r="P281" s="1"/>
      <c r="Q281" s="1"/>
      <c r="R281" s="1"/>
      <c r="S281" s="1"/>
    </row>
    <row r="282" ht="12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11"/>
      <c r="N282" s="1"/>
      <c r="O282" s="1"/>
      <c r="P282" s="1"/>
      <c r="Q282" s="1"/>
      <c r="R282" s="1"/>
      <c r="S282" s="1"/>
    </row>
    <row r="283" ht="12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11"/>
      <c r="N283" s="1"/>
      <c r="O283" s="1"/>
      <c r="P283" s="1"/>
      <c r="Q283" s="1"/>
      <c r="R283" s="1"/>
      <c r="S283" s="1"/>
    </row>
    <row r="284" ht="12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11"/>
      <c r="N284" s="1"/>
      <c r="O284" s="1"/>
      <c r="P284" s="1"/>
      <c r="Q284" s="1"/>
      <c r="R284" s="1"/>
      <c r="S284" s="1"/>
    </row>
    <row r="285" ht="12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11"/>
      <c r="N285" s="1"/>
      <c r="O285" s="1"/>
      <c r="P285" s="1"/>
      <c r="Q285" s="1"/>
      <c r="R285" s="1"/>
      <c r="S285" s="1"/>
    </row>
    <row r="286" ht="12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11"/>
      <c r="N286" s="1"/>
      <c r="O286" s="1"/>
      <c r="P286" s="1"/>
      <c r="Q286" s="1"/>
      <c r="R286" s="1"/>
      <c r="S286" s="1"/>
    </row>
    <row r="287" ht="12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11"/>
      <c r="N287" s="1"/>
      <c r="O287" s="1"/>
      <c r="P287" s="1"/>
      <c r="Q287" s="1"/>
      <c r="R287" s="1"/>
      <c r="S287" s="1"/>
    </row>
    <row r="288" ht="12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11"/>
      <c r="N288" s="1"/>
      <c r="O288" s="1"/>
      <c r="P288" s="1"/>
      <c r="Q288" s="1"/>
      <c r="R288" s="1"/>
      <c r="S288" s="1"/>
    </row>
    <row r="289" ht="12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11"/>
      <c r="N289" s="1"/>
      <c r="O289" s="1"/>
      <c r="P289" s="1"/>
      <c r="Q289" s="1"/>
      <c r="R289" s="1"/>
      <c r="S289" s="1"/>
    </row>
    <row r="290" ht="12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11"/>
      <c r="N290" s="1"/>
      <c r="O290" s="1"/>
      <c r="P290" s="1"/>
      <c r="Q290" s="1"/>
      <c r="R290" s="1"/>
      <c r="S290" s="1"/>
    </row>
    <row r="291" ht="12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11"/>
      <c r="N291" s="1"/>
      <c r="O291" s="1"/>
      <c r="P291" s="1"/>
      <c r="Q291" s="1"/>
      <c r="R291" s="1"/>
      <c r="S291" s="1"/>
    </row>
    <row r="292" ht="12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11"/>
      <c r="N292" s="1"/>
      <c r="O292" s="1"/>
      <c r="P292" s="1"/>
      <c r="Q292" s="1"/>
      <c r="R292" s="1"/>
      <c r="S292" s="1"/>
    </row>
    <row r="293" ht="12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11"/>
      <c r="N293" s="1"/>
      <c r="O293" s="1"/>
      <c r="P293" s="1"/>
      <c r="Q293" s="1"/>
      <c r="R293" s="1"/>
      <c r="S293" s="1"/>
    </row>
    <row r="294" ht="12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11"/>
      <c r="N294" s="1"/>
      <c r="O294" s="1"/>
      <c r="P294" s="1"/>
      <c r="Q294" s="1"/>
      <c r="R294" s="1"/>
      <c r="S294" s="1"/>
    </row>
    <row r="295" ht="12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11"/>
      <c r="N295" s="1"/>
      <c r="O295" s="1"/>
      <c r="P295" s="1"/>
      <c r="Q295" s="1"/>
      <c r="R295" s="1"/>
      <c r="S295" s="1"/>
    </row>
    <row r="296" ht="12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11"/>
      <c r="N296" s="1"/>
      <c r="O296" s="1"/>
      <c r="P296" s="1"/>
      <c r="Q296" s="1"/>
      <c r="R296" s="1"/>
      <c r="S296" s="1"/>
    </row>
    <row r="297" ht="12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11"/>
      <c r="N297" s="1"/>
      <c r="O297" s="1"/>
      <c r="P297" s="1"/>
      <c r="Q297" s="1"/>
      <c r="R297" s="1"/>
      <c r="S297" s="1"/>
    </row>
    <row r="298" ht="12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11"/>
      <c r="N298" s="1"/>
      <c r="O298" s="1"/>
      <c r="P298" s="1"/>
      <c r="Q298" s="1"/>
      <c r="R298" s="1"/>
      <c r="S298" s="1"/>
    </row>
    <row r="299" ht="12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11"/>
      <c r="N299" s="1"/>
      <c r="O299" s="1"/>
      <c r="P299" s="1"/>
      <c r="Q299" s="1"/>
      <c r="R299" s="1"/>
      <c r="S299" s="1"/>
    </row>
    <row r="300" ht="12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11"/>
      <c r="N300" s="1"/>
      <c r="O300" s="1"/>
      <c r="P300" s="1"/>
      <c r="Q300" s="1"/>
      <c r="R300" s="1"/>
      <c r="S300" s="1"/>
    </row>
    <row r="301" ht="12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11"/>
      <c r="N301" s="1"/>
      <c r="O301" s="1"/>
      <c r="P301" s="1"/>
      <c r="Q301" s="1"/>
      <c r="R301" s="1"/>
      <c r="S301" s="1"/>
    </row>
    <row r="302" ht="12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11"/>
      <c r="N302" s="1"/>
      <c r="O302" s="1"/>
      <c r="P302" s="1"/>
      <c r="Q302" s="1"/>
      <c r="R302" s="1"/>
      <c r="S302" s="1"/>
    </row>
    <row r="303" ht="12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11"/>
      <c r="N303" s="1"/>
      <c r="O303" s="1"/>
      <c r="P303" s="1"/>
      <c r="Q303" s="1"/>
      <c r="R303" s="1"/>
      <c r="S303" s="1"/>
    </row>
    <row r="304" ht="12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11"/>
      <c r="N304" s="1"/>
      <c r="O304" s="1"/>
      <c r="P304" s="1"/>
      <c r="Q304" s="1"/>
      <c r="R304" s="1"/>
      <c r="S304" s="1"/>
    </row>
    <row r="305" ht="12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11"/>
      <c r="N305" s="1"/>
      <c r="O305" s="1"/>
      <c r="P305" s="1"/>
      <c r="Q305" s="1"/>
      <c r="R305" s="1"/>
      <c r="S305" s="1"/>
    </row>
    <row r="306" ht="12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11"/>
      <c r="N306" s="1"/>
      <c r="O306" s="1"/>
      <c r="P306" s="1"/>
      <c r="Q306" s="1"/>
      <c r="R306" s="1"/>
      <c r="S306" s="1"/>
    </row>
    <row r="307" ht="12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11"/>
      <c r="N307" s="1"/>
      <c r="O307" s="1"/>
      <c r="P307" s="1"/>
      <c r="Q307" s="1"/>
      <c r="R307" s="1"/>
      <c r="S307" s="1"/>
    </row>
    <row r="308" ht="12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11"/>
      <c r="N308" s="1"/>
      <c r="O308" s="1"/>
      <c r="P308" s="1"/>
      <c r="Q308" s="1"/>
      <c r="R308" s="1"/>
      <c r="S308" s="1"/>
    </row>
    <row r="309" ht="12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11"/>
      <c r="N309" s="1"/>
      <c r="O309" s="1"/>
      <c r="P309" s="1"/>
      <c r="Q309" s="1"/>
      <c r="R309" s="1"/>
      <c r="S309" s="1"/>
    </row>
    <row r="310" ht="12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11"/>
      <c r="N310" s="1"/>
      <c r="O310" s="1"/>
      <c r="P310" s="1"/>
      <c r="Q310" s="1"/>
      <c r="R310" s="1"/>
      <c r="S310" s="1"/>
    </row>
    <row r="311" ht="12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11"/>
      <c r="N311" s="1"/>
      <c r="O311" s="1"/>
      <c r="P311" s="1"/>
      <c r="Q311" s="1"/>
      <c r="R311" s="1"/>
      <c r="S311" s="1"/>
    </row>
    <row r="312" ht="12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11"/>
      <c r="N312" s="1"/>
      <c r="O312" s="1"/>
      <c r="P312" s="1"/>
      <c r="Q312" s="1"/>
      <c r="R312" s="1"/>
      <c r="S312" s="1"/>
    </row>
    <row r="313" ht="12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11"/>
      <c r="N313" s="1"/>
      <c r="O313" s="1"/>
      <c r="P313" s="1"/>
      <c r="Q313" s="1"/>
      <c r="R313" s="1"/>
      <c r="S313" s="1"/>
    </row>
    <row r="314" ht="12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11"/>
      <c r="N314" s="1"/>
      <c r="O314" s="1"/>
      <c r="P314" s="1"/>
      <c r="Q314" s="1"/>
      <c r="R314" s="1"/>
      <c r="S314" s="1"/>
    </row>
    <row r="315" ht="12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11"/>
      <c r="N315" s="1"/>
      <c r="O315" s="1"/>
      <c r="P315" s="1"/>
      <c r="Q315" s="1"/>
      <c r="R315" s="1"/>
      <c r="S315" s="1"/>
    </row>
    <row r="316" ht="12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11"/>
      <c r="N316" s="1"/>
      <c r="O316" s="1"/>
      <c r="P316" s="1"/>
      <c r="Q316" s="1"/>
      <c r="R316" s="1"/>
      <c r="S316" s="1"/>
    </row>
    <row r="317" ht="12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11"/>
      <c r="N317" s="1"/>
      <c r="O317" s="1"/>
      <c r="P317" s="1"/>
      <c r="Q317" s="1"/>
      <c r="R317" s="1"/>
      <c r="S317" s="1"/>
    </row>
    <row r="318" ht="12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11"/>
      <c r="N318" s="1"/>
      <c r="O318" s="1"/>
      <c r="P318" s="1"/>
      <c r="Q318" s="1"/>
      <c r="R318" s="1"/>
      <c r="S318" s="1"/>
    </row>
    <row r="319" ht="12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11"/>
      <c r="N319" s="1"/>
      <c r="O319" s="1"/>
      <c r="P319" s="1"/>
      <c r="Q319" s="1"/>
      <c r="R319" s="1"/>
      <c r="S319" s="1"/>
    </row>
    <row r="320" ht="12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11"/>
      <c r="N320" s="1"/>
      <c r="O320" s="1"/>
      <c r="P320" s="1"/>
      <c r="Q320" s="1"/>
      <c r="R320" s="1"/>
      <c r="S320" s="1"/>
    </row>
    <row r="321" ht="12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11"/>
      <c r="N321" s="1"/>
      <c r="O321" s="1"/>
      <c r="P321" s="1"/>
      <c r="Q321" s="1"/>
      <c r="R321" s="1"/>
      <c r="S321" s="1"/>
    </row>
    <row r="322" ht="12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11"/>
      <c r="N322" s="1"/>
      <c r="O322" s="1"/>
      <c r="P322" s="1"/>
      <c r="Q322" s="1"/>
      <c r="R322" s="1"/>
      <c r="S322" s="1"/>
    </row>
    <row r="323" ht="12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11"/>
      <c r="N323" s="1"/>
      <c r="O323" s="1"/>
      <c r="P323" s="1"/>
      <c r="Q323" s="1"/>
      <c r="R323" s="1"/>
      <c r="S323" s="1"/>
    </row>
    <row r="324" ht="12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11"/>
      <c r="N324" s="1"/>
      <c r="O324" s="1"/>
      <c r="P324" s="1"/>
      <c r="Q324" s="1"/>
      <c r="R324" s="1"/>
      <c r="S324" s="1"/>
    </row>
    <row r="325" ht="12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11"/>
      <c r="N325" s="1"/>
      <c r="O325" s="1"/>
      <c r="P325" s="1"/>
      <c r="Q325" s="1"/>
      <c r="R325" s="1"/>
      <c r="S325" s="1"/>
    </row>
    <row r="326" ht="12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11"/>
      <c r="N326" s="1"/>
      <c r="O326" s="1"/>
      <c r="P326" s="1"/>
      <c r="Q326" s="1"/>
      <c r="R326" s="1"/>
      <c r="S326" s="1"/>
    </row>
    <row r="327" ht="12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11"/>
      <c r="N327" s="1"/>
      <c r="O327" s="1"/>
      <c r="P327" s="1"/>
      <c r="Q327" s="1"/>
      <c r="R327" s="1"/>
      <c r="S327" s="1"/>
    </row>
    <row r="328" ht="12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11"/>
      <c r="N328" s="1"/>
      <c r="O328" s="1"/>
      <c r="P328" s="1"/>
      <c r="Q328" s="1"/>
      <c r="R328" s="1"/>
      <c r="S328" s="1"/>
    </row>
    <row r="329" ht="12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11"/>
      <c r="N329" s="1"/>
      <c r="O329" s="1"/>
      <c r="P329" s="1"/>
      <c r="Q329" s="1"/>
      <c r="R329" s="1"/>
      <c r="S329" s="1"/>
    </row>
    <row r="330" ht="12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11"/>
      <c r="N330" s="1"/>
      <c r="O330" s="1"/>
      <c r="P330" s="1"/>
      <c r="Q330" s="1"/>
      <c r="R330" s="1"/>
      <c r="S330" s="1"/>
    </row>
    <row r="331" ht="12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11"/>
      <c r="N331" s="1"/>
      <c r="O331" s="1"/>
      <c r="P331" s="1"/>
      <c r="Q331" s="1"/>
      <c r="R331" s="1"/>
      <c r="S331" s="1"/>
    </row>
    <row r="332" ht="12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11"/>
      <c r="N332" s="1"/>
      <c r="O332" s="1"/>
      <c r="P332" s="1"/>
      <c r="Q332" s="1"/>
      <c r="R332" s="1"/>
      <c r="S332" s="1"/>
    </row>
    <row r="333" ht="12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11"/>
      <c r="N333" s="1"/>
      <c r="O333" s="1"/>
      <c r="P333" s="1"/>
      <c r="Q333" s="1"/>
      <c r="R333" s="1"/>
      <c r="S333" s="1"/>
    </row>
    <row r="334" ht="12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11"/>
      <c r="N334" s="1"/>
      <c r="O334" s="1"/>
      <c r="P334" s="1"/>
      <c r="Q334" s="1"/>
      <c r="R334" s="1"/>
      <c r="S334" s="1"/>
    </row>
    <row r="335" ht="12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11"/>
      <c r="N335" s="1"/>
      <c r="O335" s="1"/>
      <c r="P335" s="1"/>
      <c r="Q335" s="1"/>
      <c r="R335" s="1"/>
      <c r="S335" s="1"/>
    </row>
    <row r="336" ht="12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11"/>
      <c r="N336" s="1"/>
      <c r="O336" s="1"/>
      <c r="P336" s="1"/>
      <c r="Q336" s="1"/>
      <c r="R336" s="1"/>
      <c r="S336" s="1"/>
    </row>
    <row r="337" ht="12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11"/>
      <c r="N337" s="1"/>
      <c r="O337" s="1"/>
      <c r="P337" s="1"/>
      <c r="Q337" s="1"/>
      <c r="R337" s="1"/>
      <c r="S337" s="1"/>
    </row>
    <row r="338" ht="12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11"/>
      <c r="N338" s="1"/>
      <c r="O338" s="1"/>
      <c r="P338" s="1"/>
      <c r="Q338" s="1"/>
      <c r="R338" s="1"/>
      <c r="S338" s="1"/>
    </row>
    <row r="339" ht="12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11"/>
      <c r="N339" s="1"/>
      <c r="O339" s="1"/>
      <c r="P339" s="1"/>
      <c r="Q339" s="1"/>
      <c r="R339" s="1"/>
      <c r="S339" s="1"/>
    </row>
    <row r="340" ht="12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11"/>
      <c r="N340" s="1"/>
      <c r="O340" s="1"/>
      <c r="P340" s="1"/>
      <c r="Q340" s="1"/>
      <c r="R340" s="1"/>
      <c r="S340" s="1"/>
    </row>
    <row r="341" ht="12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11"/>
      <c r="N341" s="1"/>
      <c r="O341" s="1"/>
      <c r="P341" s="1"/>
      <c r="Q341" s="1"/>
      <c r="R341" s="1"/>
      <c r="S341" s="1"/>
    </row>
    <row r="342" ht="12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11"/>
      <c r="N342" s="1"/>
      <c r="O342" s="1"/>
      <c r="P342" s="1"/>
      <c r="Q342" s="1"/>
      <c r="R342" s="1"/>
      <c r="S342" s="1"/>
    </row>
    <row r="343" ht="12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11"/>
      <c r="N343" s="1"/>
      <c r="O343" s="1"/>
      <c r="P343" s="1"/>
      <c r="Q343" s="1"/>
      <c r="R343" s="1"/>
      <c r="S343" s="1"/>
    </row>
    <row r="344" ht="12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11"/>
      <c r="N344" s="1"/>
      <c r="O344" s="1"/>
      <c r="P344" s="1"/>
      <c r="Q344" s="1"/>
      <c r="R344" s="1"/>
      <c r="S344" s="1"/>
    </row>
    <row r="345" ht="12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11"/>
      <c r="N345" s="1"/>
      <c r="O345" s="1"/>
      <c r="P345" s="1"/>
      <c r="Q345" s="1"/>
      <c r="R345" s="1"/>
      <c r="S345" s="1"/>
    </row>
    <row r="346" ht="12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11"/>
      <c r="N346" s="1"/>
      <c r="O346" s="1"/>
      <c r="P346" s="1"/>
      <c r="Q346" s="1"/>
      <c r="R346" s="1"/>
      <c r="S346" s="1"/>
    </row>
    <row r="347" ht="12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11"/>
      <c r="N347" s="1"/>
      <c r="O347" s="1"/>
      <c r="P347" s="1"/>
      <c r="Q347" s="1"/>
      <c r="R347" s="1"/>
      <c r="S347" s="1"/>
    </row>
    <row r="348" ht="12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11"/>
      <c r="N348" s="1"/>
      <c r="O348" s="1"/>
      <c r="P348" s="1"/>
      <c r="Q348" s="1"/>
      <c r="R348" s="1"/>
      <c r="S348" s="1"/>
    </row>
    <row r="349" ht="12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11"/>
      <c r="N349" s="1"/>
      <c r="O349" s="1"/>
      <c r="P349" s="1"/>
      <c r="Q349" s="1"/>
      <c r="R349" s="1"/>
      <c r="S349" s="1"/>
    </row>
    <row r="350" ht="12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11"/>
      <c r="N350" s="1"/>
      <c r="O350" s="1"/>
      <c r="P350" s="1"/>
      <c r="Q350" s="1"/>
      <c r="R350" s="1"/>
      <c r="S350" s="1"/>
    </row>
    <row r="351" ht="12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11"/>
      <c r="N351" s="1"/>
      <c r="O351" s="1"/>
      <c r="P351" s="1"/>
      <c r="Q351" s="1"/>
      <c r="R351" s="1"/>
      <c r="S351" s="1"/>
    </row>
    <row r="352" ht="12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11"/>
      <c r="N352" s="1"/>
      <c r="O352" s="1"/>
      <c r="P352" s="1"/>
      <c r="Q352" s="1"/>
      <c r="R352" s="1"/>
      <c r="S352" s="1"/>
    </row>
    <row r="353" ht="12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11"/>
      <c r="N353" s="1"/>
      <c r="O353" s="1"/>
      <c r="P353" s="1"/>
      <c r="Q353" s="1"/>
      <c r="R353" s="1"/>
      <c r="S353" s="1"/>
    </row>
    <row r="354" ht="12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11"/>
      <c r="N354" s="1"/>
      <c r="O354" s="1"/>
      <c r="P354" s="1"/>
      <c r="Q354" s="1"/>
      <c r="R354" s="1"/>
      <c r="S354" s="1"/>
    </row>
    <row r="355" ht="12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11"/>
      <c r="N355" s="1"/>
      <c r="O355" s="1"/>
      <c r="P355" s="1"/>
      <c r="Q355" s="1"/>
      <c r="R355" s="1"/>
      <c r="S355" s="1"/>
    </row>
    <row r="356" ht="12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11"/>
      <c r="N356" s="1"/>
      <c r="O356" s="1"/>
      <c r="P356" s="1"/>
      <c r="Q356" s="1"/>
      <c r="R356" s="1"/>
      <c r="S356" s="1"/>
    </row>
    <row r="357" ht="12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11"/>
      <c r="N357" s="1"/>
      <c r="O357" s="1"/>
      <c r="P357" s="1"/>
      <c r="Q357" s="1"/>
      <c r="R357" s="1"/>
      <c r="S357" s="1"/>
    </row>
    <row r="358" ht="12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11"/>
      <c r="N358" s="1"/>
      <c r="O358" s="1"/>
      <c r="P358" s="1"/>
      <c r="Q358" s="1"/>
      <c r="R358" s="1"/>
      <c r="S358" s="1"/>
    </row>
    <row r="359" ht="12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11"/>
      <c r="N359" s="1"/>
      <c r="O359" s="1"/>
      <c r="P359" s="1"/>
      <c r="Q359" s="1"/>
      <c r="R359" s="1"/>
      <c r="S359" s="1"/>
    </row>
    <row r="360" ht="12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11"/>
      <c r="N360" s="1"/>
      <c r="O360" s="1"/>
      <c r="P360" s="1"/>
      <c r="Q360" s="1"/>
      <c r="R360" s="1"/>
      <c r="S360" s="1"/>
    </row>
    <row r="361" ht="12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11"/>
      <c r="N361" s="1"/>
      <c r="O361" s="1"/>
      <c r="P361" s="1"/>
      <c r="Q361" s="1"/>
      <c r="R361" s="1"/>
      <c r="S361" s="1"/>
    </row>
    <row r="362" ht="12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11"/>
      <c r="N362" s="1"/>
      <c r="O362" s="1"/>
      <c r="P362" s="1"/>
      <c r="Q362" s="1"/>
      <c r="R362" s="1"/>
      <c r="S362" s="1"/>
    </row>
    <row r="363" ht="12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11"/>
      <c r="N363" s="1"/>
      <c r="O363" s="1"/>
      <c r="P363" s="1"/>
      <c r="Q363" s="1"/>
      <c r="R363" s="1"/>
      <c r="S363" s="1"/>
    </row>
    <row r="364" ht="12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11"/>
      <c r="N364" s="1"/>
      <c r="O364" s="1"/>
      <c r="P364" s="1"/>
      <c r="Q364" s="1"/>
      <c r="R364" s="1"/>
      <c r="S364" s="1"/>
    </row>
    <row r="365" ht="12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11"/>
      <c r="N365" s="1"/>
      <c r="O365" s="1"/>
      <c r="P365" s="1"/>
      <c r="Q365" s="1"/>
      <c r="R365" s="1"/>
      <c r="S365" s="1"/>
    </row>
    <row r="366" ht="12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11"/>
      <c r="N366" s="1"/>
      <c r="O366" s="1"/>
      <c r="P366" s="1"/>
      <c r="Q366" s="1"/>
      <c r="R366" s="1"/>
      <c r="S366" s="1"/>
    </row>
    <row r="367" ht="12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11"/>
      <c r="N367" s="1"/>
      <c r="O367" s="1"/>
      <c r="P367" s="1"/>
      <c r="Q367" s="1"/>
      <c r="R367" s="1"/>
      <c r="S367" s="1"/>
    </row>
    <row r="368" ht="12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11"/>
      <c r="N368" s="1"/>
      <c r="O368" s="1"/>
      <c r="P368" s="1"/>
      <c r="Q368" s="1"/>
      <c r="R368" s="1"/>
      <c r="S368" s="1"/>
    </row>
    <row r="369" ht="12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11"/>
      <c r="N369" s="1"/>
      <c r="O369" s="1"/>
      <c r="P369" s="1"/>
      <c r="Q369" s="1"/>
      <c r="R369" s="1"/>
      <c r="S369" s="1"/>
    </row>
    <row r="370" ht="12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11"/>
      <c r="N370" s="1"/>
      <c r="O370" s="1"/>
      <c r="P370" s="1"/>
      <c r="Q370" s="1"/>
      <c r="R370" s="1"/>
      <c r="S370" s="1"/>
    </row>
    <row r="371" ht="12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11"/>
      <c r="N371" s="1"/>
      <c r="O371" s="1"/>
      <c r="P371" s="1"/>
      <c r="Q371" s="1"/>
      <c r="R371" s="1"/>
      <c r="S371" s="1"/>
    </row>
    <row r="372" ht="12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11"/>
      <c r="N372" s="1"/>
      <c r="O372" s="1"/>
      <c r="P372" s="1"/>
      <c r="Q372" s="1"/>
      <c r="R372" s="1"/>
      <c r="S372" s="1"/>
    </row>
    <row r="373" ht="12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11"/>
      <c r="N373" s="1"/>
      <c r="O373" s="1"/>
      <c r="P373" s="1"/>
      <c r="Q373" s="1"/>
      <c r="R373" s="1"/>
      <c r="S373" s="1"/>
    </row>
    <row r="374" ht="12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11"/>
      <c r="N374" s="1"/>
      <c r="O374" s="1"/>
      <c r="P374" s="1"/>
      <c r="Q374" s="1"/>
      <c r="R374" s="1"/>
      <c r="S374" s="1"/>
    </row>
    <row r="375" ht="12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11"/>
      <c r="N375" s="1"/>
      <c r="O375" s="1"/>
      <c r="P375" s="1"/>
      <c r="Q375" s="1"/>
      <c r="R375" s="1"/>
      <c r="S375" s="1"/>
    </row>
    <row r="376" ht="12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11"/>
      <c r="N376" s="1"/>
      <c r="O376" s="1"/>
      <c r="P376" s="1"/>
      <c r="Q376" s="1"/>
      <c r="R376" s="1"/>
      <c r="S376" s="1"/>
    </row>
    <row r="377" ht="12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11"/>
      <c r="N377" s="1"/>
      <c r="O377" s="1"/>
      <c r="P377" s="1"/>
      <c r="Q377" s="1"/>
      <c r="R377" s="1"/>
      <c r="S377" s="1"/>
    </row>
    <row r="378" ht="12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11"/>
      <c r="N378" s="1"/>
      <c r="O378" s="1"/>
      <c r="P378" s="1"/>
      <c r="Q378" s="1"/>
      <c r="R378" s="1"/>
      <c r="S378" s="1"/>
    </row>
    <row r="379" ht="12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11"/>
      <c r="N379" s="1"/>
      <c r="O379" s="1"/>
      <c r="P379" s="1"/>
      <c r="Q379" s="1"/>
      <c r="R379" s="1"/>
      <c r="S379" s="1"/>
    </row>
    <row r="380" ht="12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11"/>
      <c r="N380" s="1"/>
      <c r="O380" s="1"/>
      <c r="P380" s="1"/>
      <c r="Q380" s="1"/>
      <c r="R380" s="1"/>
      <c r="S380" s="1"/>
    </row>
    <row r="381" ht="12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11"/>
      <c r="N381" s="1"/>
      <c r="O381" s="1"/>
      <c r="P381" s="1"/>
      <c r="Q381" s="1"/>
      <c r="R381" s="1"/>
      <c r="S381" s="1"/>
    </row>
    <row r="382" ht="12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11"/>
      <c r="N382" s="1"/>
      <c r="O382" s="1"/>
      <c r="P382" s="1"/>
      <c r="Q382" s="1"/>
      <c r="R382" s="1"/>
      <c r="S382" s="1"/>
    </row>
    <row r="383" ht="12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11"/>
      <c r="N383" s="1"/>
      <c r="O383" s="1"/>
      <c r="P383" s="1"/>
      <c r="Q383" s="1"/>
      <c r="R383" s="1"/>
      <c r="S383" s="1"/>
    </row>
    <row r="384" ht="12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11"/>
      <c r="N384" s="1"/>
      <c r="O384" s="1"/>
      <c r="P384" s="1"/>
      <c r="Q384" s="1"/>
      <c r="R384" s="1"/>
      <c r="S384" s="1"/>
    </row>
    <row r="385" ht="12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11"/>
      <c r="N385" s="1"/>
      <c r="O385" s="1"/>
      <c r="P385" s="1"/>
      <c r="Q385" s="1"/>
      <c r="R385" s="1"/>
      <c r="S385" s="1"/>
    </row>
    <row r="386" ht="12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11"/>
      <c r="N386" s="1"/>
      <c r="O386" s="1"/>
      <c r="P386" s="1"/>
      <c r="Q386" s="1"/>
      <c r="R386" s="1"/>
      <c r="S386" s="1"/>
    </row>
    <row r="387" ht="12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11"/>
      <c r="N387" s="1"/>
      <c r="O387" s="1"/>
      <c r="P387" s="1"/>
      <c r="Q387" s="1"/>
      <c r="R387" s="1"/>
      <c r="S387" s="1"/>
    </row>
    <row r="388" ht="12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11"/>
      <c r="N388" s="1"/>
      <c r="O388" s="1"/>
      <c r="P388" s="1"/>
      <c r="Q388" s="1"/>
      <c r="R388" s="1"/>
      <c r="S388" s="1"/>
    </row>
    <row r="389" ht="12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11"/>
      <c r="N389" s="1"/>
      <c r="O389" s="1"/>
      <c r="P389" s="1"/>
      <c r="Q389" s="1"/>
      <c r="R389" s="1"/>
      <c r="S389" s="1"/>
    </row>
    <row r="390" ht="12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11"/>
      <c r="N390" s="1"/>
      <c r="O390" s="1"/>
      <c r="P390" s="1"/>
      <c r="Q390" s="1"/>
      <c r="R390" s="1"/>
      <c r="S390" s="1"/>
    </row>
    <row r="391" ht="12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11"/>
      <c r="N391" s="1"/>
      <c r="O391" s="1"/>
      <c r="P391" s="1"/>
      <c r="Q391" s="1"/>
      <c r="R391" s="1"/>
      <c r="S391" s="1"/>
    </row>
    <row r="392" ht="12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11"/>
      <c r="N392" s="1"/>
      <c r="O392" s="1"/>
      <c r="P392" s="1"/>
      <c r="Q392" s="1"/>
      <c r="R392" s="1"/>
      <c r="S392" s="1"/>
    </row>
    <row r="393" ht="12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11"/>
      <c r="N393" s="1"/>
      <c r="O393" s="1"/>
      <c r="P393" s="1"/>
      <c r="Q393" s="1"/>
      <c r="R393" s="1"/>
      <c r="S393" s="1"/>
    </row>
    <row r="394" ht="12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11"/>
      <c r="N394" s="1"/>
      <c r="O394" s="1"/>
      <c r="P394" s="1"/>
      <c r="Q394" s="1"/>
      <c r="R394" s="1"/>
      <c r="S394" s="1"/>
    </row>
    <row r="395" ht="12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11"/>
      <c r="N395" s="1"/>
      <c r="O395" s="1"/>
      <c r="P395" s="1"/>
      <c r="Q395" s="1"/>
      <c r="R395" s="1"/>
      <c r="S395" s="1"/>
    </row>
    <row r="396" ht="12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11"/>
      <c r="N396" s="1"/>
      <c r="O396" s="1"/>
      <c r="P396" s="1"/>
      <c r="Q396" s="1"/>
      <c r="R396" s="1"/>
      <c r="S396" s="1"/>
    </row>
    <row r="397" ht="12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11"/>
      <c r="N397" s="1"/>
      <c r="O397" s="1"/>
      <c r="P397" s="1"/>
      <c r="Q397" s="1"/>
      <c r="R397" s="1"/>
      <c r="S397" s="1"/>
    </row>
    <row r="398" ht="12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11"/>
      <c r="N398" s="1"/>
      <c r="O398" s="1"/>
      <c r="P398" s="1"/>
      <c r="Q398" s="1"/>
      <c r="R398" s="1"/>
      <c r="S398" s="1"/>
    </row>
    <row r="399" ht="12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11"/>
      <c r="N399" s="1"/>
      <c r="O399" s="1"/>
      <c r="P399" s="1"/>
      <c r="Q399" s="1"/>
      <c r="R399" s="1"/>
      <c r="S399" s="1"/>
    </row>
    <row r="400" ht="12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11"/>
      <c r="N400" s="1"/>
      <c r="O400" s="1"/>
      <c r="P400" s="1"/>
      <c r="Q400" s="1"/>
      <c r="R400" s="1"/>
      <c r="S400" s="1"/>
    </row>
    <row r="401" ht="12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11"/>
      <c r="N401" s="1"/>
      <c r="O401" s="1"/>
      <c r="P401" s="1"/>
      <c r="Q401" s="1"/>
      <c r="R401" s="1"/>
      <c r="S401" s="1"/>
    </row>
    <row r="402" ht="12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11"/>
      <c r="N402" s="1"/>
      <c r="O402" s="1"/>
      <c r="P402" s="1"/>
      <c r="Q402" s="1"/>
      <c r="R402" s="1"/>
      <c r="S402" s="1"/>
    </row>
    <row r="403" ht="12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11"/>
      <c r="N403" s="1"/>
      <c r="O403" s="1"/>
      <c r="P403" s="1"/>
      <c r="Q403" s="1"/>
      <c r="R403" s="1"/>
      <c r="S403" s="1"/>
    </row>
    <row r="404" ht="12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11"/>
      <c r="N404" s="1"/>
      <c r="O404" s="1"/>
      <c r="P404" s="1"/>
      <c r="Q404" s="1"/>
      <c r="R404" s="1"/>
      <c r="S404" s="1"/>
    </row>
    <row r="405" ht="12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11"/>
      <c r="N405" s="1"/>
      <c r="O405" s="1"/>
      <c r="P405" s="1"/>
      <c r="Q405" s="1"/>
      <c r="R405" s="1"/>
      <c r="S405" s="1"/>
    </row>
    <row r="406" ht="12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11"/>
      <c r="N406" s="1"/>
      <c r="O406" s="1"/>
      <c r="P406" s="1"/>
      <c r="Q406" s="1"/>
      <c r="R406" s="1"/>
      <c r="S406" s="1"/>
    </row>
    <row r="407" ht="12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11"/>
      <c r="N407" s="1"/>
      <c r="O407" s="1"/>
      <c r="P407" s="1"/>
      <c r="Q407" s="1"/>
      <c r="R407" s="1"/>
      <c r="S407" s="1"/>
    </row>
    <row r="408" ht="12.7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11"/>
      <c r="N408" s="1"/>
      <c r="O408" s="1"/>
      <c r="P408" s="1"/>
      <c r="Q408" s="1"/>
      <c r="R408" s="1"/>
      <c r="S408" s="1"/>
    </row>
    <row r="409" ht="12.7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11"/>
      <c r="N409" s="1"/>
      <c r="O409" s="1"/>
      <c r="P409" s="1"/>
      <c r="Q409" s="1"/>
      <c r="R409" s="1"/>
      <c r="S409" s="1"/>
    </row>
    <row r="410" ht="12.7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11"/>
      <c r="N410" s="1"/>
      <c r="O410" s="1"/>
      <c r="P410" s="1"/>
      <c r="Q410" s="1"/>
      <c r="R410" s="1"/>
      <c r="S410" s="1"/>
    </row>
    <row r="411" ht="12.7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11"/>
      <c r="N411" s="1"/>
      <c r="O411" s="1"/>
      <c r="P411" s="1"/>
      <c r="Q411" s="1"/>
      <c r="R411" s="1"/>
      <c r="S411" s="1"/>
    </row>
    <row r="412" ht="12.7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11"/>
      <c r="N412" s="1"/>
      <c r="O412" s="1"/>
      <c r="P412" s="1"/>
      <c r="Q412" s="1"/>
      <c r="R412" s="1"/>
      <c r="S412" s="1"/>
    </row>
    <row r="413" ht="12.7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11"/>
      <c r="N413" s="1"/>
      <c r="O413" s="1"/>
      <c r="P413" s="1"/>
      <c r="Q413" s="1"/>
      <c r="R413" s="1"/>
      <c r="S413" s="1"/>
    </row>
    <row r="414" ht="12.7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11"/>
      <c r="N414" s="1"/>
      <c r="O414" s="1"/>
      <c r="P414" s="1"/>
      <c r="Q414" s="1"/>
      <c r="R414" s="1"/>
      <c r="S414" s="1"/>
    </row>
    <row r="415" ht="12.7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11"/>
      <c r="N415" s="1"/>
      <c r="O415" s="1"/>
      <c r="P415" s="1"/>
      <c r="Q415" s="1"/>
      <c r="R415" s="1"/>
      <c r="S415" s="1"/>
    </row>
    <row r="416" ht="12.7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11"/>
      <c r="N416" s="1"/>
      <c r="O416" s="1"/>
      <c r="P416" s="1"/>
      <c r="Q416" s="1"/>
      <c r="R416" s="1"/>
      <c r="S416" s="1"/>
    </row>
    <row r="417" ht="12.7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11"/>
      <c r="N417" s="1"/>
      <c r="O417" s="1"/>
      <c r="P417" s="1"/>
      <c r="Q417" s="1"/>
      <c r="R417" s="1"/>
      <c r="S417" s="1"/>
    </row>
    <row r="418" ht="12.7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11"/>
      <c r="N418" s="1"/>
      <c r="O418" s="1"/>
      <c r="P418" s="1"/>
      <c r="Q418" s="1"/>
      <c r="R418" s="1"/>
      <c r="S418" s="1"/>
    </row>
    <row r="419" ht="12.7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11"/>
      <c r="N419" s="1"/>
      <c r="O419" s="1"/>
      <c r="P419" s="1"/>
      <c r="Q419" s="1"/>
      <c r="R419" s="1"/>
      <c r="S419" s="1"/>
    </row>
    <row r="420" ht="12.7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11"/>
      <c r="N420" s="1"/>
      <c r="O420" s="1"/>
      <c r="P420" s="1"/>
      <c r="Q420" s="1"/>
      <c r="R420" s="1"/>
      <c r="S420" s="1"/>
    </row>
    <row r="421" ht="12.7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11"/>
      <c r="N421" s="1"/>
      <c r="O421" s="1"/>
      <c r="P421" s="1"/>
      <c r="Q421" s="1"/>
      <c r="R421" s="1"/>
      <c r="S421" s="1"/>
    </row>
    <row r="422" ht="12.7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11"/>
      <c r="N422" s="1"/>
      <c r="O422" s="1"/>
      <c r="P422" s="1"/>
      <c r="Q422" s="1"/>
      <c r="R422" s="1"/>
      <c r="S422" s="1"/>
    </row>
    <row r="423" ht="12.7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11"/>
      <c r="N423" s="1"/>
      <c r="O423" s="1"/>
      <c r="P423" s="1"/>
      <c r="Q423" s="1"/>
      <c r="R423" s="1"/>
      <c r="S423" s="1"/>
    </row>
    <row r="424" ht="12.7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11"/>
      <c r="N424" s="1"/>
      <c r="O424" s="1"/>
      <c r="P424" s="1"/>
      <c r="Q424" s="1"/>
      <c r="R424" s="1"/>
      <c r="S424" s="1"/>
    </row>
    <row r="425" ht="12.7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11"/>
      <c r="N425" s="1"/>
      <c r="O425" s="1"/>
      <c r="P425" s="1"/>
      <c r="Q425" s="1"/>
      <c r="R425" s="1"/>
      <c r="S425" s="1"/>
    </row>
    <row r="426" ht="12.7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11"/>
      <c r="N426" s="1"/>
      <c r="O426" s="1"/>
      <c r="P426" s="1"/>
      <c r="Q426" s="1"/>
      <c r="R426" s="1"/>
      <c r="S426" s="1"/>
    </row>
    <row r="427" ht="12.7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11"/>
      <c r="N427" s="1"/>
      <c r="O427" s="1"/>
      <c r="P427" s="1"/>
      <c r="Q427" s="1"/>
      <c r="R427" s="1"/>
      <c r="S427" s="1"/>
    </row>
    <row r="428" ht="12.7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11"/>
      <c r="N428" s="1"/>
      <c r="O428" s="1"/>
      <c r="P428" s="1"/>
      <c r="Q428" s="1"/>
      <c r="R428" s="1"/>
      <c r="S428" s="1"/>
    </row>
    <row r="429" ht="12.7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11"/>
      <c r="N429" s="1"/>
      <c r="O429" s="1"/>
      <c r="P429" s="1"/>
      <c r="Q429" s="1"/>
      <c r="R429" s="1"/>
      <c r="S429" s="1"/>
    </row>
    <row r="430" ht="12.7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11"/>
      <c r="N430" s="1"/>
      <c r="O430" s="1"/>
      <c r="P430" s="1"/>
      <c r="Q430" s="1"/>
      <c r="R430" s="1"/>
      <c r="S430" s="1"/>
    </row>
    <row r="431" ht="12.7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11"/>
      <c r="N431" s="1"/>
      <c r="O431" s="1"/>
      <c r="P431" s="1"/>
      <c r="Q431" s="1"/>
      <c r="R431" s="1"/>
      <c r="S431" s="1"/>
    </row>
    <row r="432" ht="12.7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11"/>
      <c r="N432" s="1"/>
      <c r="O432" s="1"/>
      <c r="P432" s="1"/>
      <c r="Q432" s="1"/>
      <c r="R432" s="1"/>
      <c r="S432" s="1"/>
    </row>
    <row r="433" ht="12.7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11"/>
      <c r="N433" s="1"/>
      <c r="O433" s="1"/>
      <c r="P433" s="1"/>
      <c r="Q433" s="1"/>
      <c r="R433" s="1"/>
      <c r="S433" s="1"/>
    </row>
    <row r="434" ht="12.7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11"/>
      <c r="N434" s="1"/>
      <c r="O434" s="1"/>
      <c r="P434" s="1"/>
      <c r="Q434" s="1"/>
      <c r="R434" s="1"/>
      <c r="S434" s="1"/>
    </row>
    <row r="435" ht="12.7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11"/>
      <c r="N435" s="1"/>
      <c r="O435" s="1"/>
      <c r="P435" s="1"/>
      <c r="Q435" s="1"/>
      <c r="R435" s="1"/>
      <c r="S435" s="1"/>
    </row>
    <row r="436" ht="12.7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11"/>
      <c r="N436" s="1"/>
      <c r="O436" s="1"/>
      <c r="P436" s="1"/>
      <c r="Q436" s="1"/>
      <c r="R436" s="1"/>
      <c r="S436" s="1"/>
    </row>
    <row r="437" ht="12.7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11"/>
      <c r="N437" s="1"/>
      <c r="O437" s="1"/>
      <c r="P437" s="1"/>
      <c r="Q437" s="1"/>
      <c r="R437" s="1"/>
      <c r="S437" s="1"/>
    </row>
    <row r="438" ht="12.7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11"/>
      <c r="N438" s="1"/>
      <c r="O438" s="1"/>
      <c r="P438" s="1"/>
      <c r="Q438" s="1"/>
      <c r="R438" s="1"/>
      <c r="S438" s="1"/>
    </row>
    <row r="439" ht="12.7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11"/>
      <c r="N439" s="1"/>
      <c r="O439" s="1"/>
      <c r="P439" s="1"/>
      <c r="Q439" s="1"/>
      <c r="R439" s="1"/>
      <c r="S439" s="1"/>
    </row>
    <row r="440" ht="12.7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11"/>
      <c r="N440" s="1"/>
      <c r="O440" s="1"/>
      <c r="P440" s="1"/>
      <c r="Q440" s="1"/>
      <c r="R440" s="1"/>
      <c r="S440" s="1"/>
    </row>
    <row r="441" ht="12.7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11"/>
      <c r="N441" s="1"/>
      <c r="O441" s="1"/>
      <c r="P441" s="1"/>
      <c r="Q441" s="1"/>
      <c r="R441" s="1"/>
      <c r="S441" s="1"/>
    </row>
    <row r="442" ht="12.7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11"/>
      <c r="N442" s="1"/>
      <c r="O442" s="1"/>
      <c r="P442" s="1"/>
      <c r="Q442" s="1"/>
      <c r="R442" s="1"/>
      <c r="S442" s="1"/>
    </row>
    <row r="443" ht="12.7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11"/>
      <c r="N443" s="1"/>
      <c r="O443" s="1"/>
      <c r="P443" s="1"/>
      <c r="Q443" s="1"/>
      <c r="R443" s="1"/>
      <c r="S443" s="1"/>
    </row>
    <row r="444" ht="12.7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11"/>
      <c r="N444" s="1"/>
      <c r="O444" s="1"/>
      <c r="P444" s="1"/>
      <c r="Q444" s="1"/>
      <c r="R444" s="1"/>
      <c r="S444" s="1"/>
    </row>
    <row r="445" ht="12.7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11"/>
      <c r="N445" s="1"/>
      <c r="O445" s="1"/>
      <c r="P445" s="1"/>
      <c r="Q445" s="1"/>
      <c r="R445" s="1"/>
      <c r="S445" s="1"/>
    </row>
    <row r="446" ht="12.7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11"/>
      <c r="N446" s="1"/>
      <c r="O446" s="1"/>
      <c r="P446" s="1"/>
      <c r="Q446" s="1"/>
      <c r="R446" s="1"/>
      <c r="S446" s="1"/>
    </row>
    <row r="447" ht="12.7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11"/>
      <c r="N447" s="1"/>
      <c r="O447" s="1"/>
      <c r="P447" s="1"/>
      <c r="Q447" s="1"/>
      <c r="R447" s="1"/>
      <c r="S447" s="1"/>
    </row>
    <row r="448" ht="12.7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11"/>
      <c r="N448" s="1"/>
      <c r="O448" s="1"/>
      <c r="P448" s="1"/>
      <c r="Q448" s="1"/>
      <c r="R448" s="1"/>
      <c r="S448" s="1"/>
    </row>
    <row r="449" ht="12.7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11"/>
      <c r="N449" s="1"/>
      <c r="O449" s="1"/>
      <c r="P449" s="1"/>
      <c r="Q449" s="1"/>
      <c r="R449" s="1"/>
      <c r="S449" s="1"/>
    </row>
    <row r="450" ht="12.7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11"/>
      <c r="N450" s="1"/>
      <c r="O450" s="1"/>
      <c r="P450" s="1"/>
      <c r="Q450" s="1"/>
      <c r="R450" s="1"/>
      <c r="S450" s="1"/>
    </row>
    <row r="451" ht="12.7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11"/>
      <c r="N451" s="1"/>
      <c r="O451" s="1"/>
      <c r="P451" s="1"/>
      <c r="Q451" s="1"/>
      <c r="R451" s="1"/>
      <c r="S451" s="1"/>
    </row>
    <row r="452" ht="12.7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11"/>
      <c r="N452" s="1"/>
      <c r="O452" s="1"/>
      <c r="P452" s="1"/>
      <c r="Q452" s="1"/>
      <c r="R452" s="1"/>
      <c r="S452" s="1"/>
    </row>
    <row r="453" ht="12.7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11"/>
      <c r="N453" s="1"/>
      <c r="O453" s="1"/>
      <c r="P453" s="1"/>
      <c r="Q453" s="1"/>
      <c r="R453" s="1"/>
      <c r="S453" s="1"/>
    </row>
    <row r="454" ht="12.7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11"/>
      <c r="N454" s="1"/>
      <c r="O454" s="1"/>
      <c r="P454" s="1"/>
      <c r="Q454" s="1"/>
      <c r="R454" s="1"/>
      <c r="S454" s="1"/>
    </row>
    <row r="455" ht="12.7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11"/>
      <c r="N455" s="1"/>
      <c r="O455" s="1"/>
      <c r="P455" s="1"/>
      <c r="Q455" s="1"/>
      <c r="R455" s="1"/>
      <c r="S455" s="1"/>
    </row>
    <row r="456" ht="12.7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11"/>
      <c r="N456" s="1"/>
      <c r="O456" s="1"/>
      <c r="P456" s="1"/>
      <c r="Q456" s="1"/>
      <c r="R456" s="1"/>
      <c r="S456" s="1"/>
    </row>
    <row r="457" ht="12.7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11"/>
      <c r="N457" s="1"/>
      <c r="O457" s="1"/>
      <c r="P457" s="1"/>
      <c r="Q457" s="1"/>
      <c r="R457" s="1"/>
      <c r="S457" s="1"/>
    </row>
    <row r="458" ht="12.7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11"/>
      <c r="N458" s="1"/>
      <c r="O458" s="1"/>
      <c r="P458" s="1"/>
      <c r="Q458" s="1"/>
      <c r="R458" s="1"/>
      <c r="S458" s="1"/>
    </row>
    <row r="459" ht="12.7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11"/>
      <c r="N459" s="1"/>
      <c r="O459" s="1"/>
      <c r="P459" s="1"/>
      <c r="Q459" s="1"/>
      <c r="R459" s="1"/>
      <c r="S459" s="1"/>
    </row>
    <row r="460" ht="12.7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11"/>
      <c r="N460" s="1"/>
      <c r="O460" s="1"/>
      <c r="P460" s="1"/>
      <c r="Q460" s="1"/>
      <c r="R460" s="1"/>
      <c r="S460" s="1"/>
    </row>
    <row r="461" ht="12.7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11"/>
      <c r="N461" s="1"/>
      <c r="O461" s="1"/>
      <c r="P461" s="1"/>
      <c r="Q461" s="1"/>
      <c r="R461" s="1"/>
      <c r="S461" s="1"/>
    </row>
    <row r="462" ht="12.7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11"/>
      <c r="N462" s="1"/>
      <c r="O462" s="1"/>
      <c r="P462" s="1"/>
      <c r="Q462" s="1"/>
      <c r="R462" s="1"/>
      <c r="S462" s="1"/>
    </row>
    <row r="463" ht="12.7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11"/>
      <c r="N463" s="1"/>
      <c r="O463" s="1"/>
      <c r="P463" s="1"/>
      <c r="Q463" s="1"/>
      <c r="R463" s="1"/>
      <c r="S463" s="1"/>
    </row>
    <row r="464" ht="12.7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11"/>
      <c r="N464" s="1"/>
      <c r="O464" s="1"/>
      <c r="P464" s="1"/>
      <c r="Q464" s="1"/>
      <c r="R464" s="1"/>
      <c r="S464" s="1"/>
    </row>
    <row r="465" ht="12.7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11"/>
      <c r="N465" s="1"/>
      <c r="O465" s="1"/>
      <c r="P465" s="1"/>
      <c r="Q465" s="1"/>
      <c r="R465" s="1"/>
      <c r="S465" s="1"/>
    </row>
    <row r="466" ht="12.7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11"/>
      <c r="N466" s="1"/>
      <c r="O466" s="1"/>
      <c r="P466" s="1"/>
      <c r="Q466" s="1"/>
      <c r="R466" s="1"/>
      <c r="S466" s="1"/>
    </row>
    <row r="467" ht="12.7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11"/>
      <c r="N467" s="1"/>
      <c r="O467" s="1"/>
      <c r="P467" s="1"/>
      <c r="Q467" s="1"/>
      <c r="R467" s="1"/>
      <c r="S467" s="1"/>
    </row>
    <row r="468" ht="12.7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11"/>
      <c r="N468" s="1"/>
      <c r="O468" s="1"/>
      <c r="P468" s="1"/>
      <c r="Q468" s="1"/>
      <c r="R468" s="1"/>
      <c r="S468" s="1"/>
    </row>
    <row r="469" ht="12.7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11"/>
      <c r="N469" s="1"/>
      <c r="O469" s="1"/>
      <c r="P469" s="1"/>
      <c r="Q469" s="1"/>
      <c r="R469" s="1"/>
      <c r="S469" s="1"/>
    </row>
    <row r="470" ht="12.7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11"/>
      <c r="N470" s="1"/>
      <c r="O470" s="1"/>
      <c r="P470" s="1"/>
      <c r="Q470" s="1"/>
      <c r="R470" s="1"/>
      <c r="S470" s="1"/>
    </row>
    <row r="471" ht="12.7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11"/>
      <c r="N471" s="1"/>
      <c r="O471" s="1"/>
      <c r="P471" s="1"/>
      <c r="Q471" s="1"/>
      <c r="R471" s="1"/>
      <c r="S471" s="1"/>
    </row>
    <row r="472" ht="12.7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11"/>
      <c r="N472" s="1"/>
      <c r="O472" s="1"/>
      <c r="P472" s="1"/>
      <c r="Q472" s="1"/>
      <c r="R472" s="1"/>
      <c r="S472" s="1"/>
    </row>
    <row r="473" ht="12.7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11"/>
      <c r="N473" s="1"/>
      <c r="O473" s="1"/>
      <c r="P473" s="1"/>
      <c r="Q473" s="1"/>
      <c r="R473" s="1"/>
      <c r="S473" s="1"/>
    </row>
    <row r="474" ht="12.7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11"/>
      <c r="N474" s="1"/>
      <c r="O474" s="1"/>
      <c r="P474" s="1"/>
      <c r="Q474" s="1"/>
      <c r="R474" s="1"/>
      <c r="S474" s="1"/>
    </row>
    <row r="475" ht="12.7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11"/>
      <c r="N475" s="1"/>
      <c r="O475" s="1"/>
      <c r="P475" s="1"/>
      <c r="Q475" s="1"/>
      <c r="R475" s="1"/>
      <c r="S475" s="1"/>
    </row>
    <row r="476" ht="12.7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11"/>
      <c r="N476" s="1"/>
      <c r="O476" s="1"/>
      <c r="P476" s="1"/>
      <c r="Q476" s="1"/>
      <c r="R476" s="1"/>
      <c r="S476" s="1"/>
    </row>
    <row r="477" ht="12.7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11"/>
      <c r="N477" s="1"/>
      <c r="O477" s="1"/>
      <c r="P477" s="1"/>
      <c r="Q477" s="1"/>
      <c r="R477" s="1"/>
      <c r="S477" s="1"/>
    </row>
    <row r="478" ht="12.7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11"/>
      <c r="N478" s="1"/>
      <c r="O478" s="1"/>
      <c r="P478" s="1"/>
      <c r="Q478" s="1"/>
      <c r="R478" s="1"/>
      <c r="S478" s="1"/>
    </row>
    <row r="479" ht="12.7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11"/>
      <c r="N479" s="1"/>
      <c r="O479" s="1"/>
      <c r="P479" s="1"/>
      <c r="Q479" s="1"/>
      <c r="R479" s="1"/>
      <c r="S479" s="1"/>
    </row>
    <row r="480" ht="12.7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11"/>
      <c r="N480" s="1"/>
      <c r="O480" s="1"/>
      <c r="P480" s="1"/>
      <c r="Q480" s="1"/>
      <c r="R480" s="1"/>
      <c r="S480" s="1"/>
    </row>
    <row r="481" ht="12.7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11"/>
      <c r="N481" s="1"/>
      <c r="O481" s="1"/>
      <c r="P481" s="1"/>
      <c r="Q481" s="1"/>
      <c r="R481" s="1"/>
      <c r="S481" s="1"/>
    </row>
    <row r="482" ht="12.7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11"/>
      <c r="N482" s="1"/>
      <c r="O482" s="1"/>
      <c r="P482" s="1"/>
      <c r="Q482" s="1"/>
      <c r="R482" s="1"/>
      <c r="S482" s="1"/>
    </row>
    <row r="483" ht="12.7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11"/>
      <c r="N483" s="1"/>
      <c r="O483" s="1"/>
      <c r="P483" s="1"/>
      <c r="Q483" s="1"/>
      <c r="R483" s="1"/>
      <c r="S483" s="1"/>
    </row>
    <row r="484" ht="12.7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11"/>
      <c r="N484" s="1"/>
      <c r="O484" s="1"/>
      <c r="P484" s="1"/>
      <c r="Q484" s="1"/>
      <c r="R484" s="1"/>
      <c r="S484" s="1"/>
    </row>
    <row r="485" ht="12.7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11"/>
      <c r="N485" s="1"/>
      <c r="O485" s="1"/>
      <c r="P485" s="1"/>
      <c r="Q485" s="1"/>
      <c r="R485" s="1"/>
      <c r="S485" s="1"/>
    </row>
    <row r="486" ht="12.7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11"/>
      <c r="N486" s="1"/>
      <c r="O486" s="1"/>
      <c r="P486" s="1"/>
      <c r="Q486" s="1"/>
      <c r="R486" s="1"/>
      <c r="S486" s="1"/>
    </row>
    <row r="487" ht="12.7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11"/>
      <c r="N487" s="1"/>
      <c r="O487" s="1"/>
      <c r="P487" s="1"/>
      <c r="Q487" s="1"/>
      <c r="R487" s="1"/>
      <c r="S487" s="1"/>
    </row>
    <row r="488" ht="12.7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11"/>
      <c r="N488" s="1"/>
      <c r="O488" s="1"/>
      <c r="P488" s="1"/>
      <c r="Q488" s="1"/>
      <c r="R488" s="1"/>
      <c r="S488" s="1"/>
    </row>
    <row r="489" ht="12.7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11"/>
      <c r="N489" s="1"/>
      <c r="O489" s="1"/>
      <c r="P489" s="1"/>
      <c r="Q489" s="1"/>
      <c r="R489" s="1"/>
      <c r="S489" s="1"/>
    </row>
    <row r="490" ht="12.7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11"/>
      <c r="N490" s="1"/>
      <c r="O490" s="1"/>
      <c r="P490" s="1"/>
      <c r="Q490" s="1"/>
      <c r="R490" s="1"/>
      <c r="S490" s="1"/>
    </row>
    <row r="491" ht="12.7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11"/>
      <c r="N491" s="1"/>
      <c r="O491" s="1"/>
      <c r="P491" s="1"/>
      <c r="Q491" s="1"/>
      <c r="R491" s="1"/>
      <c r="S491" s="1"/>
    </row>
    <row r="492" ht="12.7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11"/>
      <c r="N492" s="1"/>
      <c r="O492" s="1"/>
      <c r="P492" s="1"/>
      <c r="Q492" s="1"/>
      <c r="R492" s="1"/>
      <c r="S492" s="1"/>
    </row>
    <row r="493" ht="12.7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11"/>
      <c r="N493" s="1"/>
      <c r="O493" s="1"/>
      <c r="P493" s="1"/>
      <c r="Q493" s="1"/>
      <c r="R493" s="1"/>
      <c r="S493" s="1"/>
    </row>
    <row r="494" ht="12.7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11"/>
      <c r="N494" s="1"/>
      <c r="O494" s="1"/>
      <c r="P494" s="1"/>
      <c r="Q494" s="1"/>
      <c r="R494" s="1"/>
      <c r="S494" s="1"/>
    </row>
    <row r="495" ht="12.7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11"/>
      <c r="N495" s="1"/>
      <c r="O495" s="1"/>
      <c r="P495" s="1"/>
      <c r="Q495" s="1"/>
      <c r="R495" s="1"/>
      <c r="S495" s="1"/>
    </row>
    <row r="496" ht="12.7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11"/>
      <c r="N496" s="1"/>
      <c r="O496" s="1"/>
      <c r="P496" s="1"/>
      <c r="Q496" s="1"/>
      <c r="R496" s="1"/>
      <c r="S496" s="1"/>
    </row>
    <row r="497" ht="12.7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11"/>
      <c r="N497" s="1"/>
      <c r="O497" s="1"/>
      <c r="P497" s="1"/>
      <c r="Q497" s="1"/>
      <c r="R497" s="1"/>
      <c r="S497" s="1"/>
    </row>
    <row r="498" ht="12.7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11"/>
      <c r="N498" s="1"/>
      <c r="O498" s="1"/>
      <c r="P498" s="1"/>
      <c r="Q498" s="1"/>
      <c r="R498" s="1"/>
      <c r="S498" s="1"/>
    </row>
    <row r="499" ht="12.7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11"/>
      <c r="N499" s="1"/>
      <c r="O499" s="1"/>
      <c r="P499" s="1"/>
      <c r="Q499" s="1"/>
      <c r="R499" s="1"/>
      <c r="S499" s="1"/>
    </row>
    <row r="500" ht="12.7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11"/>
      <c r="N500" s="1"/>
      <c r="O500" s="1"/>
      <c r="P500" s="1"/>
      <c r="Q500" s="1"/>
      <c r="R500" s="1"/>
      <c r="S500" s="1"/>
    </row>
    <row r="501" ht="12.7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11"/>
      <c r="N501" s="1"/>
      <c r="O501" s="1"/>
      <c r="P501" s="1"/>
      <c r="Q501" s="1"/>
      <c r="R501" s="1"/>
      <c r="S501" s="1"/>
    </row>
    <row r="502" ht="12.7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11"/>
      <c r="N502" s="1"/>
      <c r="O502" s="1"/>
      <c r="P502" s="1"/>
      <c r="Q502" s="1"/>
      <c r="R502" s="1"/>
      <c r="S502" s="1"/>
    </row>
    <row r="503" ht="12.7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11"/>
      <c r="N503" s="1"/>
      <c r="O503" s="1"/>
      <c r="P503" s="1"/>
      <c r="Q503" s="1"/>
      <c r="R503" s="1"/>
      <c r="S503" s="1"/>
    </row>
    <row r="504" ht="12.7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11"/>
      <c r="N504" s="1"/>
      <c r="O504" s="1"/>
      <c r="P504" s="1"/>
      <c r="Q504" s="1"/>
      <c r="R504" s="1"/>
      <c r="S504" s="1"/>
    </row>
    <row r="505" ht="12.7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11"/>
      <c r="N505" s="1"/>
      <c r="O505" s="1"/>
      <c r="P505" s="1"/>
      <c r="Q505" s="1"/>
      <c r="R505" s="1"/>
      <c r="S505" s="1"/>
    </row>
    <row r="506" ht="12.7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11"/>
      <c r="N506" s="1"/>
      <c r="O506" s="1"/>
      <c r="P506" s="1"/>
      <c r="Q506" s="1"/>
      <c r="R506" s="1"/>
      <c r="S506" s="1"/>
    </row>
    <row r="507" ht="12.7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11"/>
      <c r="N507" s="1"/>
      <c r="O507" s="1"/>
      <c r="P507" s="1"/>
      <c r="Q507" s="1"/>
      <c r="R507" s="1"/>
      <c r="S507" s="1"/>
    </row>
    <row r="508" ht="12.7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11"/>
      <c r="N508" s="1"/>
      <c r="O508" s="1"/>
      <c r="P508" s="1"/>
      <c r="Q508" s="1"/>
      <c r="R508" s="1"/>
      <c r="S508" s="1"/>
    </row>
    <row r="509" ht="12.7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11"/>
      <c r="N509" s="1"/>
      <c r="O509" s="1"/>
      <c r="P509" s="1"/>
      <c r="Q509" s="1"/>
      <c r="R509" s="1"/>
      <c r="S509" s="1"/>
    </row>
    <row r="510" ht="12.7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11"/>
      <c r="N510" s="1"/>
      <c r="O510" s="1"/>
      <c r="P510" s="1"/>
      <c r="Q510" s="1"/>
      <c r="R510" s="1"/>
      <c r="S510" s="1"/>
    </row>
    <row r="511" ht="12.7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11"/>
      <c r="N511" s="1"/>
      <c r="O511" s="1"/>
      <c r="P511" s="1"/>
      <c r="Q511" s="1"/>
      <c r="R511" s="1"/>
      <c r="S511" s="1"/>
    </row>
    <row r="512" ht="12.7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11"/>
      <c r="N512" s="1"/>
      <c r="O512" s="1"/>
      <c r="P512" s="1"/>
      <c r="Q512" s="1"/>
      <c r="R512" s="1"/>
      <c r="S512" s="1"/>
    </row>
    <row r="513" ht="12.7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11"/>
      <c r="N513" s="1"/>
      <c r="O513" s="1"/>
      <c r="P513" s="1"/>
      <c r="Q513" s="1"/>
      <c r="R513" s="1"/>
      <c r="S513" s="1"/>
    </row>
    <row r="514" ht="12.7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11"/>
      <c r="N514" s="1"/>
      <c r="O514" s="1"/>
      <c r="P514" s="1"/>
      <c r="Q514" s="1"/>
      <c r="R514" s="1"/>
      <c r="S514" s="1"/>
    </row>
    <row r="515" ht="12.7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11"/>
      <c r="N515" s="1"/>
      <c r="O515" s="1"/>
      <c r="P515" s="1"/>
      <c r="Q515" s="1"/>
      <c r="R515" s="1"/>
      <c r="S515" s="1"/>
    </row>
    <row r="516" ht="12.7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11"/>
      <c r="N516" s="1"/>
      <c r="O516" s="1"/>
      <c r="P516" s="1"/>
      <c r="Q516" s="1"/>
      <c r="R516" s="1"/>
      <c r="S516" s="1"/>
    </row>
    <row r="517" ht="12.7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11"/>
      <c r="N517" s="1"/>
      <c r="O517" s="1"/>
      <c r="P517" s="1"/>
      <c r="Q517" s="1"/>
      <c r="R517" s="1"/>
      <c r="S517" s="1"/>
    </row>
    <row r="518" ht="12.7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11"/>
      <c r="N518" s="1"/>
      <c r="O518" s="1"/>
      <c r="P518" s="1"/>
      <c r="Q518" s="1"/>
      <c r="R518" s="1"/>
      <c r="S518" s="1"/>
    </row>
    <row r="519" ht="12.7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11"/>
      <c r="N519" s="1"/>
      <c r="O519" s="1"/>
      <c r="P519" s="1"/>
      <c r="Q519" s="1"/>
      <c r="R519" s="1"/>
      <c r="S519" s="1"/>
    </row>
    <row r="520" ht="12.7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11"/>
      <c r="N520" s="1"/>
      <c r="O520" s="1"/>
      <c r="P520" s="1"/>
      <c r="Q520" s="1"/>
      <c r="R520" s="1"/>
      <c r="S520" s="1"/>
    </row>
    <row r="521" ht="12.7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11"/>
      <c r="N521" s="1"/>
      <c r="O521" s="1"/>
      <c r="P521" s="1"/>
      <c r="Q521" s="1"/>
      <c r="R521" s="1"/>
      <c r="S521" s="1"/>
    </row>
    <row r="522" ht="12.7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11"/>
      <c r="N522" s="1"/>
      <c r="O522" s="1"/>
      <c r="P522" s="1"/>
      <c r="Q522" s="1"/>
      <c r="R522" s="1"/>
      <c r="S522" s="1"/>
    </row>
    <row r="523" ht="12.7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11"/>
      <c r="N523" s="1"/>
      <c r="O523" s="1"/>
      <c r="P523" s="1"/>
      <c r="Q523" s="1"/>
      <c r="R523" s="1"/>
      <c r="S523" s="1"/>
    </row>
    <row r="524" ht="12.7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11"/>
      <c r="N524" s="1"/>
      <c r="O524" s="1"/>
      <c r="P524" s="1"/>
      <c r="Q524" s="1"/>
      <c r="R524" s="1"/>
      <c r="S524" s="1"/>
    </row>
    <row r="525" ht="12.7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11"/>
      <c r="N525" s="1"/>
      <c r="O525" s="1"/>
      <c r="P525" s="1"/>
      <c r="Q525" s="1"/>
      <c r="R525" s="1"/>
      <c r="S525" s="1"/>
    </row>
    <row r="526" ht="12.7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11"/>
      <c r="N526" s="1"/>
      <c r="O526" s="1"/>
      <c r="P526" s="1"/>
      <c r="Q526" s="1"/>
      <c r="R526" s="1"/>
      <c r="S526" s="1"/>
    </row>
    <row r="527" ht="12.7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11"/>
      <c r="N527" s="1"/>
      <c r="O527" s="1"/>
      <c r="P527" s="1"/>
      <c r="Q527" s="1"/>
      <c r="R527" s="1"/>
      <c r="S527" s="1"/>
    </row>
    <row r="528" ht="12.7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11"/>
      <c r="N528" s="1"/>
      <c r="O528" s="1"/>
      <c r="P528" s="1"/>
      <c r="Q528" s="1"/>
      <c r="R528" s="1"/>
      <c r="S528" s="1"/>
    </row>
    <row r="529" ht="12.7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11"/>
      <c r="N529" s="1"/>
      <c r="O529" s="1"/>
      <c r="P529" s="1"/>
      <c r="Q529" s="1"/>
      <c r="R529" s="1"/>
      <c r="S529" s="1"/>
    </row>
    <row r="530" ht="12.7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11"/>
      <c r="N530" s="1"/>
      <c r="O530" s="1"/>
      <c r="P530" s="1"/>
      <c r="Q530" s="1"/>
      <c r="R530" s="1"/>
      <c r="S530" s="1"/>
    </row>
    <row r="531" ht="12.7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11"/>
      <c r="N531" s="1"/>
      <c r="O531" s="1"/>
      <c r="P531" s="1"/>
      <c r="Q531" s="1"/>
      <c r="R531" s="1"/>
      <c r="S531" s="1"/>
    </row>
    <row r="532" ht="12.7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11"/>
      <c r="N532" s="1"/>
      <c r="O532" s="1"/>
      <c r="P532" s="1"/>
      <c r="Q532" s="1"/>
      <c r="R532" s="1"/>
      <c r="S532" s="1"/>
    </row>
    <row r="533" ht="12.7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11"/>
      <c r="N533" s="1"/>
      <c r="O533" s="1"/>
      <c r="P533" s="1"/>
      <c r="Q533" s="1"/>
      <c r="R533" s="1"/>
      <c r="S533" s="1"/>
    </row>
    <row r="534" ht="12.7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11"/>
      <c r="N534" s="1"/>
      <c r="O534" s="1"/>
      <c r="P534" s="1"/>
      <c r="Q534" s="1"/>
      <c r="R534" s="1"/>
      <c r="S534" s="1"/>
    </row>
    <row r="535" ht="12.7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11"/>
      <c r="N535" s="1"/>
      <c r="O535" s="1"/>
      <c r="P535" s="1"/>
      <c r="Q535" s="1"/>
      <c r="R535" s="1"/>
      <c r="S535" s="1"/>
    </row>
    <row r="536" ht="12.7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11"/>
      <c r="N536" s="1"/>
      <c r="O536" s="1"/>
      <c r="P536" s="1"/>
      <c r="Q536" s="1"/>
      <c r="R536" s="1"/>
      <c r="S536" s="1"/>
    </row>
    <row r="537" ht="12.7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11"/>
      <c r="N537" s="1"/>
      <c r="O537" s="1"/>
      <c r="P537" s="1"/>
      <c r="Q537" s="1"/>
      <c r="R537" s="1"/>
      <c r="S537" s="1"/>
    </row>
    <row r="538" ht="12.7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11"/>
      <c r="N538" s="1"/>
      <c r="O538" s="1"/>
      <c r="P538" s="1"/>
      <c r="Q538" s="1"/>
      <c r="R538" s="1"/>
      <c r="S538" s="1"/>
    </row>
    <row r="539" ht="12.7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11"/>
      <c r="N539" s="1"/>
      <c r="O539" s="1"/>
      <c r="P539" s="1"/>
      <c r="Q539" s="1"/>
      <c r="R539" s="1"/>
      <c r="S539" s="1"/>
    </row>
    <row r="540" ht="12.7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11"/>
      <c r="N540" s="1"/>
      <c r="O540" s="1"/>
      <c r="P540" s="1"/>
      <c r="Q540" s="1"/>
      <c r="R540" s="1"/>
      <c r="S540" s="1"/>
    </row>
    <row r="541" ht="12.7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11"/>
      <c r="N541" s="1"/>
      <c r="O541" s="1"/>
      <c r="P541" s="1"/>
      <c r="Q541" s="1"/>
      <c r="R541" s="1"/>
      <c r="S541" s="1"/>
    </row>
    <row r="542" ht="12.7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11"/>
      <c r="N542" s="1"/>
      <c r="O542" s="1"/>
      <c r="P542" s="1"/>
      <c r="Q542" s="1"/>
      <c r="R542" s="1"/>
      <c r="S542" s="1"/>
    </row>
    <row r="543" ht="12.7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11"/>
      <c r="N543" s="1"/>
      <c r="O543" s="1"/>
      <c r="P543" s="1"/>
      <c r="Q543" s="1"/>
      <c r="R543" s="1"/>
      <c r="S543" s="1"/>
    </row>
    <row r="544" ht="12.7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11"/>
      <c r="N544" s="1"/>
      <c r="O544" s="1"/>
      <c r="P544" s="1"/>
      <c r="Q544" s="1"/>
      <c r="R544" s="1"/>
      <c r="S544" s="1"/>
    </row>
    <row r="545" ht="12.7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11"/>
      <c r="N545" s="1"/>
      <c r="O545" s="1"/>
      <c r="P545" s="1"/>
      <c r="Q545" s="1"/>
      <c r="R545" s="1"/>
      <c r="S545" s="1"/>
    </row>
    <row r="546" ht="12.7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11"/>
      <c r="N546" s="1"/>
      <c r="O546" s="1"/>
      <c r="P546" s="1"/>
      <c r="Q546" s="1"/>
      <c r="R546" s="1"/>
      <c r="S546" s="1"/>
    </row>
    <row r="547" ht="12.7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11"/>
      <c r="N547" s="1"/>
      <c r="O547" s="1"/>
      <c r="P547" s="1"/>
      <c r="Q547" s="1"/>
      <c r="R547" s="1"/>
      <c r="S547" s="1"/>
    </row>
    <row r="548" ht="12.7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11"/>
      <c r="N548" s="1"/>
      <c r="O548" s="1"/>
      <c r="P548" s="1"/>
      <c r="Q548" s="1"/>
      <c r="R548" s="1"/>
      <c r="S548" s="1"/>
    </row>
    <row r="549" ht="12.7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11"/>
      <c r="N549" s="1"/>
      <c r="O549" s="1"/>
      <c r="P549" s="1"/>
      <c r="Q549" s="1"/>
      <c r="R549" s="1"/>
      <c r="S549" s="1"/>
    </row>
    <row r="550" ht="12.7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11"/>
      <c r="N550" s="1"/>
      <c r="O550" s="1"/>
      <c r="P550" s="1"/>
      <c r="Q550" s="1"/>
      <c r="R550" s="1"/>
      <c r="S550" s="1"/>
    </row>
    <row r="551" ht="12.7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11"/>
      <c r="N551" s="1"/>
      <c r="O551" s="1"/>
      <c r="P551" s="1"/>
      <c r="Q551" s="1"/>
      <c r="R551" s="1"/>
      <c r="S551" s="1"/>
    </row>
    <row r="552" ht="12.7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11"/>
      <c r="N552" s="1"/>
      <c r="O552" s="1"/>
      <c r="P552" s="1"/>
      <c r="Q552" s="1"/>
      <c r="R552" s="1"/>
      <c r="S552" s="1"/>
    </row>
    <row r="553" ht="12.7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11"/>
      <c r="N553" s="1"/>
      <c r="O553" s="1"/>
      <c r="P553" s="1"/>
      <c r="Q553" s="1"/>
      <c r="R553" s="1"/>
      <c r="S553" s="1"/>
    </row>
    <row r="554" ht="12.7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11"/>
      <c r="N554" s="1"/>
      <c r="O554" s="1"/>
      <c r="P554" s="1"/>
      <c r="Q554" s="1"/>
      <c r="R554" s="1"/>
      <c r="S554" s="1"/>
    </row>
    <row r="555" ht="12.7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11"/>
      <c r="N555" s="1"/>
      <c r="O555" s="1"/>
      <c r="P555" s="1"/>
      <c r="Q555" s="1"/>
      <c r="R555" s="1"/>
      <c r="S555" s="1"/>
    </row>
    <row r="556" ht="12.7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11"/>
      <c r="N556" s="1"/>
      <c r="O556" s="1"/>
      <c r="P556" s="1"/>
      <c r="Q556" s="1"/>
      <c r="R556" s="1"/>
      <c r="S556" s="1"/>
    </row>
    <row r="557" ht="12.7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11"/>
      <c r="N557" s="1"/>
      <c r="O557" s="1"/>
      <c r="P557" s="1"/>
      <c r="Q557" s="1"/>
      <c r="R557" s="1"/>
      <c r="S557" s="1"/>
    </row>
    <row r="558" ht="12.7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11"/>
      <c r="N558" s="1"/>
      <c r="O558" s="1"/>
      <c r="P558" s="1"/>
      <c r="Q558" s="1"/>
      <c r="R558" s="1"/>
      <c r="S558" s="1"/>
    </row>
    <row r="559" ht="12.7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11"/>
      <c r="N559" s="1"/>
      <c r="O559" s="1"/>
      <c r="P559" s="1"/>
      <c r="Q559" s="1"/>
      <c r="R559" s="1"/>
      <c r="S559" s="1"/>
    </row>
    <row r="560" ht="12.7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11"/>
      <c r="N560" s="1"/>
      <c r="O560" s="1"/>
      <c r="P560" s="1"/>
      <c r="Q560" s="1"/>
      <c r="R560" s="1"/>
      <c r="S560" s="1"/>
    </row>
    <row r="561" ht="12.7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11"/>
      <c r="N561" s="1"/>
      <c r="O561" s="1"/>
      <c r="P561" s="1"/>
      <c r="Q561" s="1"/>
      <c r="R561" s="1"/>
      <c r="S561" s="1"/>
    </row>
    <row r="562" ht="12.7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11"/>
      <c r="N562" s="1"/>
      <c r="O562" s="1"/>
      <c r="P562" s="1"/>
      <c r="Q562" s="1"/>
      <c r="R562" s="1"/>
      <c r="S562" s="1"/>
    </row>
    <row r="563" ht="12.7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11"/>
      <c r="N563" s="1"/>
      <c r="O563" s="1"/>
      <c r="P563" s="1"/>
      <c r="Q563" s="1"/>
      <c r="R563" s="1"/>
      <c r="S563" s="1"/>
    </row>
    <row r="564" ht="12.7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11"/>
      <c r="N564" s="1"/>
      <c r="O564" s="1"/>
      <c r="P564" s="1"/>
      <c r="Q564" s="1"/>
      <c r="R564" s="1"/>
      <c r="S564" s="1"/>
    </row>
    <row r="565" ht="12.7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11"/>
      <c r="N565" s="1"/>
      <c r="O565" s="1"/>
      <c r="P565" s="1"/>
      <c r="Q565" s="1"/>
      <c r="R565" s="1"/>
      <c r="S565" s="1"/>
    </row>
    <row r="566" ht="12.7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11"/>
      <c r="N566" s="1"/>
      <c r="O566" s="1"/>
      <c r="P566" s="1"/>
      <c r="Q566" s="1"/>
      <c r="R566" s="1"/>
      <c r="S566" s="1"/>
    </row>
    <row r="567" ht="12.7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11"/>
      <c r="N567" s="1"/>
      <c r="O567" s="1"/>
      <c r="P567" s="1"/>
      <c r="Q567" s="1"/>
      <c r="R567" s="1"/>
      <c r="S567" s="1"/>
    </row>
    <row r="568" ht="12.7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11"/>
      <c r="N568" s="1"/>
      <c r="O568" s="1"/>
      <c r="P568" s="1"/>
      <c r="Q568" s="1"/>
      <c r="R568" s="1"/>
      <c r="S568" s="1"/>
    </row>
    <row r="569" ht="12.7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11"/>
      <c r="N569" s="1"/>
      <c r="O569" s="1"/>
      <c r="P569" s="1"/>
      <c r="Q569" s="1"/>
      <c r="R569" s="1"/>
      <c r="S569" s="1"/>
    </row>
    <row r="570" ht="12.7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11"/>
      <c r="N570" s="1"/>
      <c r="O570" s="1"/>
      <c r="P570" s="1"/>
      <c r="Q570" s="1"/>
      <c r="R570" s="1"/>
      <c r="S570" s="1"/>
    </row>
    <row r="571" ht="12.7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11"/>
      <c r="N571" s="1"/>
      <c r="O571" s="1"/>
      <c r="P571" s="1"/>
      <c r="Q571" s="1"/>
      <c r="R571" s="1"/>
      <c r="S571" s="1"/>
    </row>
    <row r="572" ht="12.7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11"/>
      <c r="N572" s="1"/>
      <c r="O572" s="1"/>
      <c r="P572" s="1"/>
      <c r="Q572" s="1"/>
      <c r="R572" s="1"/>
      <c r="S572" s="1"/>
    </row>
    <row r="573" ht="12.7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11"/>
      <c r="N573" s="1"/>
      <c r="O573" s="1"/>
      <c r="P573" s="1"/>
      <c r="Q573" s="1"/>
      <c r="R573" s="1"/>
      <c r="S573" s="1"/>
    </row>
    <row r="574" ht="12.7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11"/>
      <c r="N574" s="1"/>
      <c r="O574" s="1"/>
      <c r="P574" s="1"/>
      <c r="Q574" s="1"/>
      <c r="R574" s="1"/>
      <c r="S574" s="1"/>
    </row>
    <row r="575" ht="12.7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11"/>
      <c r="N575" s="1"/>
      <c r="O575" s="1"/>
      <c r="P575" s="1"/>
      <c r="Q575" s="1"/>
      <c r="R575" s="1"/>
      <c r="S575" s="1"/>
    </row>
    <row r="576" ht="12.7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11"/>
      <c r="N576" s="1"/>
      <c r="O576" s="1"/>
      <c r="P576" s="1"/>
      <c r="Q576" s="1"/>
      <c r="R576" s="1"/>
      <c r="S576" s="1"/>
    </row>
    <row r="577" ht="12.7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11"/>
      <c r="N577" s="1"/>
      <c r="O577" s="1"/>
      <c r="P577" s="1"/>
      <c r="Q577" s="1"/>
      <c r="R577" s="1"/>
      <c r="S577" s="1"/>
    </row>
    <row r="578" ht="12.7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11"/>
      <c r="N578" s="1"/>
      <c r="O578" s="1"/>
      <c r="P578" s="1"/>
      <c r="Q578" s="1"/>
      <c r="R578" s="1"/>
      <c r="S578" s="1"/>
    </row>
    <row r="579" ht="12.7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11"/>
      <c r="N579" s="1"/>
      <c r="O579" s="1"/>
      <c r="P579" s="1"/>
      <c r="Q579" s="1"/>
      <c r="R579" s="1"/>
      <c r="S579" s="1"/>
    </row>
    <row r="580" ht="12.7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11"/>
      <c r="N580" s="1"/>
      <c r="O580" s="1"/>
      <c r="P580" s="1"/>
      <c r="Q580" s="1"/>
      <c r="R580" s="1"/>
      <c r="S580" s="1"/>
    </row>
    <row r="581" ht="12.7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11"/>
      <c r="N581" s="1"/>
      <c r="O581" s="1"/>
      <c r="P581" s="1"/>
      <c r="Q581" s="1"/>
      <c r="R581" s="1"/>
      <c r="S581" s="1"/>
    </row>
    <row r="582" ht="12.7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11"/>
      <c r="N582" s="1"/>
      <c r="O582" s="1"/>
      <c r="P582" s="1"/>
      <c r="Q582" s="1"/>
      <c r="R582" s="1"/>
      <c r="S582" s="1"/>
    </row>
    <row r="583" ht="12.7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11"/>
      <c r="N583" s="1"/>
      <c r="O583" s="1"/>
      <c r="P583" s="1"/>
      <c r="Q583" s="1"/>
      <c r="R583" s="1"/>
      <c r="S583" s="1"/>
    </row>
    <row r="584" ht="12.7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11"/>
      <c r="N584" s="1"/>
      <c r="O584" s="1"/>
      <c r="P584" s="1"/>
      <c r="Q584" s="1"/>
      <c r="R584" s="1"/>
      <c r="S584" s="1"/>
    </row>
    <row r="585" ht="12.7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11"/>
      <c r="N585" s="1"/>
      <c r="O585" s="1"/>
      <c r="P585" s="1"/>
      <c r="Q585" s="1"/>
      <c r="R585" s="1"/>
      <c r="S585" s="1"/>
    </row>
    <row r="586" ht="12.7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11"/>
      <c r="N586" s="1"/>
      <c r="O586" s="1"/>
      <c r="P586" s="1"/>
      <c r="Q586" s="1"/>
      <c r="R586" s="1"/>
      <c r="S586" s="1"/>
    </row>
    <row r="587" ht="12.7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11"/>
      <c r="N587" s="1"/>
      <c r="O587" s="1"/>
      <c r="P587" s="1"/>
      <c r="Q587" s="1"/>
      <c r="R587" s="1"/>
      <c r="S587" s="1"/>
    </row>
    <row r="588" ht="12.7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11"/>
      <c r="N588" s="1"/>
      <c r="O588" s="1"/>
      <c r="P588" s="1"/>
      <c r="Q588" s="1"/>
      <c r="R588" s="1"/>
      <c r="S588" s="1"/>
    </row>
    <row r="589" ht="12.7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11"/>
      <c r="N589" s="1"/>
      <c r="O589" s="1"/>
      <c r="P589" s="1"/>
      <c r="Q589" s="1"/>
      <c r="R589" s="1"/>
      <c r="S589" s="1"/>
    </row>
    <row r="590" ht="12.7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11"/>
      <c r="N590" s="1"/>
      <c r="O590" s="1"/>
      <c r="P590" s="1"/>
      <c r="Q590" s="1"/>
      <c r="R590" s="1"/>
      <c r="S590" s="1"/>
    </row>
    <row r="591" ht="12.7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11"/>
      <c r="N591" s="1"/>
      <c r="O591" s="1"/>
      <c r="P591" s="1"/>
      <c r="Q591" s="1"/>
      <c r="R591" s="1"/>
      <c r="S591" s="1"/>
    </row>
    <row r="592" ht="12.7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11"/>
      <c r="N592" s="1"/>
      <c r="O592" s="1"/>
      <c r="P592" s="1"/>
      <c r="Q592" s="1"/>
      <c r="R592" s="1"/>
      <c r="S592" s="1"/>
    </row>
    <row r="593" ht="12.7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11"/>
      <c r="N593" s="1"/>
      <c r="O593" s="1"/>
      <c r="P593" s="1"/>
      <c r="Q593" s="1"/>
      <c r="R593" s="1"/>
      <c r="S593" s="1"/>
    </row>
    <row r="594" ht="12.7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11"/>
      <c r="N594" s="1"/>
      <c r="O594" s="1"/>
      <c r="P594" s="1"/>
      <c r="Q594" s="1"/>
      <c r="R594" s="1"/>
      <c r="S594" s="1"/>
    </row>
    <row r="595" ht="12.7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11"/>
      <c r="N595" s="1"/>
      <c r="O595" s="1"/>
      <c r="P595" s="1"/>
      <c r="Q595" s="1"/>
      <c r="R595" s="1"/>
      <c r="S595" s="1"/>
    </row>
    <row r="596" ht="12.7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11"/>
      <c r="N596" s="1"/>
      <c r="O596" s="1"/>
      <c r="P596" s="1"/>
      <c r="Q596" s="1"/>
      <c r="R596" s="1"/>
      <c r="S596" s="1"/>
    </row>
    <row r="597" ht="12.7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11"/>
      <c r="N597" s="1"/>
      <c r="O597" s="1"/>
      <c r="P597" s="1"/>
      <c r="Q597" s="1"/>
      <c r="R597" s="1"/>
      <c r="S597" s="1"/>
    </row>
    <row r="598" ht="12.7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11"/>
      <c r="N598" s="1"/>
      <c r="O598" s="1"/>
      <c r="P598" s="1"/>
      <c r="Q598" s="1"/>
      <c r="R598" s="1"/>
      <c r="S598" s="1"/>
    </row>
    <row r="599" ht="12.7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11"/>
      <c r="N599" s="1"/>
      <c r="O599" s="1"/>
      <c r="P599" s="1"/>
      <c r="Q599" s="1"/>
      <c r="R599" s="1"/>
      <c r="S599" s="1"/>
    </row>
    <row r="600" ht="12.7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11"/>
      <c r="N600" s="1"/>
      <c r="O600" s="1"/>
      <c r="P600" s="1"/>
      <c r="Q600" s="1"/>
      <c r="R600" s="1"/>
      <c r="S600" s="1"/>
    </row>
    <row r="601" ht="12.7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11"/>
      <c r="N601" s="1"/>
      <c r="O601" s="1"/>
      <c r="P601" s="1"/>
      <c r="Q601" s="1"/>
      <c r="R601" s="1"/>
      <c r="S601" s="1"/>
    </row>
    <row r="602" ht="12.7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11"/>
      <c r="N602" s="1"/>
      <c r="O602" s="1"/>
      <c r="P602" s="1"/>
      <c r="Q602" s="1"/>
      <c r="R602" s="1"/>
      <c r="S602" s="1"/>
    </row>
    <row r="603" ht="12.7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11"/>
      <c r="N603" s="1"/>
      <c r="O603" s="1"/>
      <c r="P603" s="1"/>
      <c r="Q603" s="1"/>
      <c r="R603" s="1"/>
      <c r="S603" s="1"/>
    </row>
    <row r="604" ht="12.7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11"/>
      <c r="N604" s="1"/>
      <c r="O604" s="1"/>
      <c r="P604" s="1"/>
      <c r="Q604" s="1"/>
      <c r="R604" s="1"/>
      <c r="S604" s="1"/>
    </row>
    <row r="605" ht="12.7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11"/>
      <c r="N605" s="1"/>
      <c r="O605" s="1"/>
      <c r="P605" s="1"/>
      <c r="Q605" s="1"/>
      <c r="R605" s="1"/>
      <c r="S605" s="1"/>
    </row>
    <row r="606" ht="12.7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11"/>
      <c r="N606" s="1"/>
      <c r="O606" s="1"/>
      <c r="P606" s="1"/>
      <c r="Q606" s="1"/>
      <c r="R606" s="1"/>
      <c r="S606" s="1"/>
    </row>
    <row r="607" ht="12.7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11"/>
      <c r="N607" s="1"/>
      <c r="O607" s="1"/>
      <c r="P607" s="1"/>
      <c r="Q607" s="1"/>
      <c r="R607" s="1"/>
      <c r="S607" s="1"/>
    </row>
    <row r="608" ht="12.7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11"/>
      <c r="N608" s="1"/>
      <c r="O608" s="1"/>
      <c r="P608" s="1"/>
      <c r="Q608" s="1"/>
      <c r="R608" s="1"/>
      <c r="S608" s="1"/>
    </row>
    <row r="609" ht="12.7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11"/>
      <c r="N609" s="1"/>
      <c r="O609" s="1"/>
      <c r="P609" s="1"/>
      <c r="Q609" s="1"/>
      <c r="R609" s="1"/>
      <c r="S609" s="1"/>
    </row>
    <row r="610" ht="12.7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11"/>
      <c r="N610" s="1"/>
      <c r="O610" s="1"/>
      <c r="P610" s="1"/>
      <c r="Q610" s="1"/>
      <c r="R610" s="1"/>
      <c r="S610" s="1"/>
    </row>
    <row r="611" ht="12.7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11"/>
      <c r="N611" s="1"/>
      <c r="O611" s="1"/>
      <c r="P611" s="1"/>
      <c r="Q611" s="1"/>
      <c r="R611" s="1"/>
      <c r="S611" s="1"/>
    </row>
    <row r="612" ht="12.7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11"/>
      <c r="N612" s="1"/>
      <c r="O612" s="1"/>
      <c r="P612" s="1"/>
      <c r="Q612" s="1"/>
      <c r="R612" s="1"/>
      <c r="S612" s="1"/>
    </row>
    <row r="613" ht="12.7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11"/>
      <c r="N613" s="1"/>
      <c r="O613" s="1"/>
      <c r="P613" s="1"/>
      <c r="Q613" s="1"/>
      <c r="R613" s="1"/>
      <c r="S613" s="1"/>
    </row>
    <row r="614" ht="12.7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11"/>
      <c r="N614" s="1"/>
      <c r="O614" s="1"/>
      <c r="P614" s="1"/>
      <c r="Q614" s="1"/>
      <c r="R614" s="1"/>
      <c r="S614" s="1"/>
    </row>
    <row r="615" ht="12.7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11"/>
      <c r="N615" s="1"/>
      <c r="O615" s="1"/>
      <c r="P615" s="1"/>
      <c r="Q615" s="1"/>
      <c r="R615" s="1"/>
      <c r="S615" s="1"/>
    </row>
    <row r="616" ht="12.7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11"/>
      <c r="N616" s="1"/>
      <c r="O616" s="1"/>
      <c r="P616" s="1"/>
      <c r="Q616" s="1"/>
      <c r="R616" s="1"/>
      <c r="S616" s="1"/>
    </row>
    <row r="617" ht="12.7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11"/>
      <c r="N617" s="1"/>
      <c r="O617" s="1"/>
      <c r="P617" s="1"/>
      <c r="Q617" s="1"/>
      <c r="R617" s="1"/>
      <c r="S617" s="1"/>
    </row>
    <row r="618" ht="12.7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11"/>
      <c r="N618" s="1"/>
      <c r="O618" s="1"/>
      <c r="P618" s="1"/>
      <c r="Q618" s="1"/>
      <c r="R618" s="1"/>
      <c r="S618" s="1"/>
    </row>
    <row r="619" ht="12.7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11"/>
      <c r="N619" s="1"/>
      <c r="O619" s="1"/>
      <c r="P619" s="1"/>
      <c r="Q619" s="1"/>
      <c r="R619" s="1"/>
      <c r="S619" s="1"/>
    </row>
    <row r="620" ht="12.7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11"/>
      <c r="N620" s="1"/>
      <c r="O620" s="1"/>
      <c r="P620" s="1"/>
      <c r="Q620" s="1"/>
      <c r="R620" s="1"/>
      <c r="S620" s="1"/>
    </row>
    <row r="621" ht="12.7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11"/>
      <c r="N621" s="1"/>
      <c r="O621" s="1"/>
      <c r="P621" s="1"/>
      <c r="Q621" s="1"/>
      <c r="R621" s="1"/>
      <c r="S621" s="1"/>
    </row>
    <row r="622" ht="12.7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11"/>
      <c r="N622" s="1"/>
      <c r="O622" s="1"/>
      <c r="P622" s="1"/>
      <c r="Q622" s="1"/>
      <c r="R622" s="1"/>
      <c r="S622" s="1"/>
    </row>
    <row r="623" ht="12.7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11"/>
      <c r="N623" s="1"/>
      <c r="O623" s="1"/>
      <c r="P623" s="1"/>
      <c r="Q623" s="1"/>
      <c r="R623" s="1"/>
      <c r="S623" s="1"/>
    </row>
    <row r="624" ht="12.7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11"/>
      <c r="N624" s="1"/>
      <c r="O624" s="1"/>
      <c r="P624" s="1"/>
      <c r="Q624" s="1"/>
      <c r="R624" s="1"/>
      <c r="S624" s="1"/>
    </row>
    <row r="625" ht="12.7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11"/>
      <c r="N625" s="1"/>
      <c r="O625" s="1"/>
      <c r="P625" s="1"/>
      <c r="Q625" s="1"/>
      <c r="R625" s="1"/>
      <c r="S625" s="1"/>
    </row>
    <row r="626" ht="12.7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11"/>
      <c r="N626" s="1"/>
      <c r="O626" s="1"/>
      <c r="P626" s="1"/>
      <c r="Q626" s="1"/>
      <c r="R626" s="1"/>
      <c r="S626" s="1"/>
    </row>
    <row r="627" ht="12.7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11"/>
      <c r="N627" s="1"/>
      <c r="O627" s="1"/>
      <c r="P627" s="1"/>
      <c r="Q627" s="1"/>
      <c r="R627" s="1"/>
      <c r="S627" s="1"/>
    </row>
    <row r="628" ht="12.7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11"/>
      <c r="N628" s="1"/>
      <c r="O628" s="1"/>
      <c r="P628" s="1"/>
      <c r="Q628" s="1"/>
      <c r="R628" s="1"/>
      <c r="S628" s="1"/>
    </row>
    <row r="629" ht="12.7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11"/>
      <c r="N629" s="1"/>
      <c r="O629" s="1"/>
      <c r="P629" s="1"/>
      <c r="Q629" s="1"/>
      <c r="R629" s="1"/>
      <c r="S629" s="1"/>
    </row>
    <row r="630" ht="12.7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11"/>
      <c r="N630" s="1"/>
      <c r="O630" s="1"/>
      <c r="P630" s="1"/>
      <c r="Q630" s="1"/>
      <c r="R630" s="1"/>
      <c r="S630" s="1"/>
    </row>
    <row r="631" ht="12.7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11"/>
      <c r="N631" s="1"/>
      <c r="O631" s="1"/>
      <c r="P631" s="1"/>
      <c r="Q631" s="1"/>
      <c r="R631" s="1"/>
      <c r="S631" s="1"/>
    </row>
    <row r="632" ht="12.7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11"/>
      <c r="N632" s="1"/>
      <c r="O632" s="1"/>
      <c r="P632" s="1"/>
      <c r="Q632" s="1"/>
      <c r="R632" s="1"/>
      <c r="S632" s="1"/>
    </row>
    <row r="633" ht="12.7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11"/>
      <c r="N633" s="1"/>
      <c r="O633" s="1"/>
      <c r="P633" s="1"/>
      <c r="Q633" s="1"/>
      <c r="R633" s="1"/>
      <c r="S633" s="1"/>
    </row>
    <row r="634" ht="12.7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11"/>
      <c r="N634" s="1"/>
      <c r="O634" s="1"/>
      <c r="P634" s="1"/>
      <c r="Q634" s="1"/>
      <c r="R634" s="1"/>
      <c r="S634" s="1"/>
    </row>
    <row r="635" ht="12.7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11"/>
      <c r="N635" s="1"/>
      <c r="O635" s="1"/>
      <c r="P635" s="1"/>
      <c r="Q635" s="1"/>
      <c r="R635" s="1"/>
      <c r="S635" s="1"/>
    </row>
    <row r="636" ht="12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11"/>
      <c r="N636" s="1"/>
      <c r="O636" s="1"/>
      <c r="P636" s="1"/>
      <c r="Q636" s="1"/>
      <c r="R636" s="1"/>
      <c r="S636" s="1"/>
    </row>
    <row r="637" ht="12.7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11"/>
      <c r="N637" s="1"/>
      <c r="O637" s="1"/>
      <c r="P637" s="1"/>
      <c r="Q637" s="1"/>
      <c r="R637" s="1"/>
      <c r="S637" s="1"/>
    </row>
    <row r="638" ht="12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11"/>
      <c r="N638" s="1"/>
      <c r="O638" s="1"/>
      <c r="P638" s="1"/>
      <c r="Q638" s="1"/>
      <c r="R638" s="1"/>
      <c r="S638" s="1"/>
    </row>
    <row r="639" ht="12.7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11"/>
      <c r="N639" s="1"/>
      <c r="O639" s="1"/>
      <c r="P639" s="1"/>
      <c r="Q639" s="1"/>
      <c r="R639" s="1"/>
      <c r="S639" s="1"/>
    </row>
    <row r="640" ht="12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11"/>
      <c r="N640" s="1"/>
      <c r="O640" s="1"/>
      <c r="P640" s="1"/>
      <c r="Q640" s="1"/>
      <c r="R640" s="1"/>
      <c r="S640" s="1"/>
    </row>
    <row r="641" ht="12.7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11"/>
      <c r="N641" s="1"/>
      <c r="O641" s="1"/>
      <c r="P641" s="1"/>
      <c r="Q641" s="1"/>
      <c r="R641" s="1"/>
      <c r="S641" s="1"/>
    </row>
    <row r="642" ht="12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11"/>
      <c r="N642" s="1"/>
      <c r="O642" s="1"/>
      <c r="P642" s="1"/>
      <c r="Q642" s="1"/>
      <c r="R642" s="1"/>
      <c r="S642" s="1"/>
    </row>
    <row r="643" ht="12.7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11"/>
      <c r="N643" s="1"/>
      <c r="O643" s="1"/>
      <c r="P643" s="1"/>
      <c r="Q643" s="1"/>
      <c r="R643" s="1"/>
      <c r="S643" s="1"/>
    </row>
    <row r="644" ht="12.7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11"/>
      <c r="N644" s="1"/>
      <c r="O644" s="1"/>
      <c r="P644" s="1"/>
      <c r="Q644" s="1"/>
      <c r="R644" s="1"/>
      <c r="S644" s="1"/>
    </row>
    <row r="645" ht="12.7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11"/>
      <c r="N645" s="1"/>
      <c r="O645" s="1"/>
      <c r="P645" s="1"/>
      <c r="Q645" s="1"/>
      <c r="R645" s="1"/>
      <c r="S645" s="1"/>
    </row>
    <row r="646" ht="12.7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11"/>
      <c r="N646" s="1"/>
      <c r="O646" s="1"/>
      <c r="P646" s="1"/>
      <c r="Q646" s="1"/>
      <c r="R646" s="1"/>
      <c r="S646" s="1"/>
    </row>
    <row r="647" ht="12.7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11"/>
      <c r="N647" s="1"/>
      <c r="O647" s="1"/>
      <c r="P647" s="1"/>
      <c r="Q647" s="1"/>
      <c r="R647" s="1"/>
      <c r="S647" s="1"/>
    </row>
    <row r="648" ht="12.7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11"/>
      <c r="N648" s="1"/>
      <c r="O648" s="1"/>
      <c r="P648" s="1"/>
      <c r="Q648" s="1"/>
      <c r="R648" s="1"/>
      <c r="S648" s="1"/>
    </row>
    <row r="649" ht="12.7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11"/>
      <c r="N649" s="1"/>
      <c r="O649" s="1"/>
      <c r="P649" s="1"/>
      <c r="Q649" s="1"/>
      <c r="R649" s="1"/>
      <c r="S649" s="1"/>
    </row>
    <row r="650" ht="12.7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11"/>
      <c r="N650" s="1"/>
      <c r="O650" s="1"/>
      <c r="P650" s="1"/>
      <c r="Q650" s="1"/>
      <c r="R650" s="1"/>
      <c r="S650" s="1"/>
    </row>
    <row r="651" ht="12.7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11"/>
      <c r="N651" s="1"/>
      <c r="O651" s="1"/>
      <c r="P651" s="1"/>
      <c r="Q651" s="1"/>
      <c r="R651" s="1"/>
      <c r="S651" s="1"/>
    </row>
    <row r="652" ht="12.7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11"/>
      <c r="N652" s="1"/>
      <c r="O652" s="1"/>
      <c r="P652" s="1"/>
      <c r="Q652" s="1"/>
      <c r="R652" s="1"/>
      <c r="S652" s="1"/>
    </row>
    <row r="653" ht="12.7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11"/>
      <c r="N653" s="1"/>
      <c r="O653" s="1"/>
      <c r="P653" s="1"/>
      <c r="Q653" s="1"/>
      <c r="R653" s="1"/>
      <c r="S653" s="1"/>
    </row>
    <row r="654" ht="12.7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11"/>
      <c r="N654" s="1"/>
      <c r="O654" s="1"/>
      <c r="P654" s="1"/>
      <c r="Q654" s="1"/>
      <c r="R654" s="1"/>
      <c r="S654" s="1"/>
    </row>
    <row r="655" ht="12.7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11"/>
      <c r="N655" s="1"/>
      <c r="O655" s="1"/>
      <c r="P655" s="1"/>
      <c r="Q655" s="1"/>
      <c r="R655" s="1"/>
      <c r="S655" s="1"/>
    </row>
    <row r="656" ht="12.7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11"/>
      <c r="N656" s="1"/>
      <c r="O656" s="1"/>
      <c r="P656" s="1"/>
      <c r="Q656" s="1"/>
      <c r="R656" s="1"/>
      <c r="S656" s="1"/>
    </row>
    <row r="657" ht="12.7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11"/>
      <c r="N657" s="1"/>
      <c r="O657" s="1"/>
      <c r="P657" s="1"/>
      <c r="Q657" s="1"/>
      <c r="R657" s="1"/>
      <c r="S657" s="1"/>
    </row>
    <row r="658" ht="12.7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11"/>
      <c r="N658" s="1"/>
      <c r="O658" s="1"/>
      <c r="P658" s="1"/>
      <c r="Q658" s="1"/>
      <c r="R658" s="1"/>
      <c r="S658" s="1"/>
    </row>
    <row r="659" ht="12.7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11"/>
      <c r="N659" s="1"/>
      <c r="O659" s="1"/>
      <c r="P659" s="1"/>
      <c r="Q659" s="1"/>
      <c r="R659" s="1"/>
      <c r="S659" s="1"/>
    </row>
    <row r="660" ht="12.7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11"/>
      <c r="N660" s="1"/>
      <c r="O660" s="1"/>
      <c r="P660" s="1"/>
      <c r="Q660" s="1"/>
      <c r="R660" s="1"/>
      <c r="S660" s="1"/>
    </row>
    <row r="661" ht="12.7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11"/>
      <c r="N661" s="1"/>
      <c r="O661" s="1"/>
      <c r="P661" s="1"/>
      <c r="Q661" s="1"/>
      <c r="R661" s="1"/>
      <c r="S661" s="1"/>
    </row>
    <row r="662" ht="12.7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11"/>
      <c r="N662" s="1"/>
      <c r="O662" s="1"/>
      <c r="P662" s="1"/>
      <c r="Q662" s="1"/>
      <c r="R662" s="1"/>
      <c r="S662" s="1"/>
    </row>
    <row r="663" ht="12.7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11"/>
      <c r="N663" s="1"/>
      <c r="O663" s="1"/>
      <c r="P663" s="1"/>
      <c r="Q663" s="1"/>
      <c r="R663" s="1"/>
      <c r="S663" s="1"/>
    </row>
    <row r="664" ht="12.7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11"/>
      <c r="N664" s="1"/>
      <c r="O664" s="1"/>
      <c r="P664" s="1"/>
      <c r="Q664" s="1"/>
      <c r="R664" s="1"/>
      <c r="S664" s="1"/>
    </row>
    <row r="665" ht="12.7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11"/>
      <c r="N665" s="1"/>
      <c r="O665" s="1"/>
      <c r="P665" s="1"/>
      <c r="Q665" s="1"/>
      <c r="R665" s="1"/>
      <c r="S665" s="1"/>
    </row>
    <row r="666" ht="12.7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11"/>
      <c r="N666" s="1"/>
      <c r="O666" s="1"/>
      <c r="P666" s="1"/>
      <c r="Q666" s="1"/>
      <c r="R666" s="1"/>
      <c r="S666" s="1"/>
    </row>
    <row r="667" ht="12.7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11"/>
      <c r="N667" s="1"/>
      <c r="O667" s="1"/>
      <c r="P667" s="1"/>
      <c r="Q667" s="1"/>
      <c r="R667" s="1"/>
      <c r="S667" s="1"/>
    </row>
    <row r="668" ht="12.7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11"/>
      <c r="N668" s="1"/>
      <c r="O668" s="1"/>
      <c r="P668" s="1"/>
      <c r="Q668" s="1"/>
      <c r="R668" s="1"/>
      <c r="S668" s="1"/>
    </row>
    <row r="669" ht="12.7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11"/>
      <c r="N669" s="1"/>
      <c r="O669" s="1"/>
      <c r="P669" s="1"/>
      <c r="Q669" s="1"/>
      <c r="R669" s="1"/>
      <c r="S669" s="1"/>
    </row>
    <row r="670" ht="12.7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11"/>
      <c r="N670" s="1"/>
      <c r="O670" s="1"/>
      <c r="P670" s="1"/>
      <c r="Q670" s="1"/>
      <c r="R670" s="1"/>
      <c r="S670" s="1"/>
    </row>
    <row r="671" ht="12.7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11"/>
      <c r="N671" s="1"/>
      <c r="O671" s="1"/>
      <c r="P671" s="1"/>
      <c r="Q671" s="1"/>
      <c r="R671" s="1"/>
      <c r="S671" s="1"/>
    </row>
    <row r="672" ht="12.7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11"/>
      <c r="N672" s="1"/>
      <c r="O672" s="1"/>
      <c r="P672" s="1"/>
      <c r="Q672" s="1"/>
      <c r="R672" s="1"/>
      <c r="S672" s="1"/>
    </row>
    <row r="673" ht="12.7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11"/>
      <c r="N673" s="1"/>
      <c r="O673" s="1"/>
      <c r="P673" s="1"/>
      <c r="Q673" s="1"/>
      <c r="R673" s="1"/>
      <c r="S673" s="1"/>
    </row>
    <row r="674" ht="12.7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11"/>
      <c r="N674" s="1"/>
      <c r="O674" s="1"/>
      <c r="P674" s="1"/>
      <c r="Q674" s="1"/>
      <c r="R674" s="1"/>
      <c r="S674" s="1"/>
    </row>
    <row r="675" ht="12.7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11"/>
      <c r="N675" s="1"/>
      <c r="O675" s="1"/>
      <c r="P675" s="1"/>
      <c r="Q675" s="1"/>
      <c r="R675" s="1"/>
      <c r="S675" s="1"/>
    </row>
    <row r="676" ht="12.7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11"/>
      <c r="N676" s="1"/>
      <c r="O676" s="1"/>
      <c r="P676" s="1"/>
      <c r="Q676" s="1"/>
      <c r="R676" s="1"/>
      <c r="S676" s="1"/>
    </row>
    <row r="677" ht="12.7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11"/>
      <c r="N677" s="1"/>
      <c r="O677" s="1"/>
      <c r="P677" s="1"/>
      <c r="Q677" s="1"/>
      <c r="R677" s="1"/>
      <c r="S677" s="1"/>
    </row>
    <row r="678" ht="12.7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11"/>
      <c r="N678" s="1"/>
      <c r="O678" s="1"/>
      <c r="P678" s="1"/>
      <c r="Q678" s="1"/>
      <c r="R678" s="1"/>
      <c r="S678" s="1"/>
    </row>
    <row r="679" ht="12.7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11"/>
      <c r="N679" s="1"/>
      <c r="O679" s="1"/>
      <c r="P679" s="1"/>
      <c r="Q679" s="1"/>
      <c r="R679" s="1"/>
      <c r="S679" s="1"/>
    </row>
    <row r="680" ht="12.7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11"/>
      <c r="N680" s="1"/>
      <c r="O680" s="1"/>
      <c r="P680" s="1"/>
      <c r="Q680" s="1"/>
      <c r="R680" s="1"/>
      <c r="S680" s="1"/>
    </row>
    <row r="681" ht="12.7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11"/>
      <c r="N681" s="1"/>
      <c r="O681" s="1"/>
      <c r="P681" s="1"/>
      <c r="Q681" s="1"/>
      <c r="R681" s="1"/>
      <c r="S681" s="1"/>
    </row>
    <row r="682" ht="12.7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11"/>
      <c r="N682" s="1"/>
      <c r="O682" s="1"/>
      <c r="P682" s="1"/>
      <c r="Q682" s="1"/>
      <c r="R682" s="1"/>
      <c r="S682" s="1"/>
    </row>
    <row r="683" ht="12.7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11"/>
      <c r="N683" s="1"/>
      <c r="O683" s="1"/>
      <c r="P683" s="1"/>
      <c r="Q683" s="1"/>
      <c r="R683" s="1"/>
      <c r="S683" s="1"/>
    </row>
    <row r="684" ht="12.7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11"/>
      <c r="N684" s="1"/>
      <c r="O684" s="1"/>
      <c r="P684" s="1"/>
      <c r="Q684" s="1"/>
      <c r="R684" s="1"/>
      <c r="S684" s="1"/>
    </row>
    <row r="685" ht="12.7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11"/>
      <c r="N685" s="1"/>
      <c r="O685" s="1"/>
      <c r="P685" s="1"/>
      <c r="Q685" s="1"/>
      <c r="R685" s="1"/>
      <c r="S685" s="1"/>
    </row>
    <row r="686" ht="12.7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11"/>
      <c r="N686" s="1"/>
      <c r="O686" s="1"/>
      <c r="P686" s="1"/>
      <c r="Q686" s="1"/>
      <c r="R686" s="1"/>
      <c r="S686" s="1"/>
    </row>
    <row r="687" ht="12.7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11"/>
      <c r="N687" s="1"/>
      <c r="O687" s="1"/>
      <c r="P687" s="1"/>
      <c r="Q687" s="1"/>
      <c r="R687" s="1"/>
      <c r="S687" s="1"/>
    </row>
    <row r="688" ht="12.7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11"/>
      <c r="N688" s="1"/>
      <c r="O688" s="1"/>
      <c r="P688" s="1"/>
      <c r="Q688" s="1"/>
      <c r="R688" s="1"/>
      <c r="S688" s="1"/>
    </row>
    <row r="689" ht="12.7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11"/>
      <c r="N689" s="1"/>
      <c r="O689" s="1"/>
      <c r="P689" s="1"/>
      <c r="Q689" s="1"/>
      <c r="R689" s="1"/>
      <c r="S689" s="1"/>
    </row>
    <row r="690" ht="12.7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11"/>
      <c r="N690" s="1"/>
      <c r="O690" s="1"/>
      <c r="P690" s="1"/>
      <c r="Q690" s="1"/>
      <c r="R690" s="1"/>
      <c r="S690" s="1"/>
    </row>
    <row r="691" ht="12.7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11"/>
      <c r="N691" s="1"/>
      <c r="O691" s="1"/>
      <c r="P691" s="1"/>
      <c r="Q691" s="1"/>
      <c r="R691" s="1"/>
      <c r="S691" s="1"/>
    </row>
    <row r="692" ht="12.7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11"/>
      <c r="N692" s="1"/>
      <c r="O692" s="1"/>
      <c r="P692" s="1"/>
      <c r="Q692" s="1"/>
      <c r="R692" s="1"/>
      <c r="S692" s="1"/>
    </row>
    <row r="693" ht="12.7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11"/>
      <c r="N693" s="1"/>
      <c r="O693" s="1"/>
      <c r="P693" s="1"/>
      <c r="Q693" s="1"/>
      <c r="R693" s="1"/>
      <c r="S693" s="1"/>
    </row>
    <row r="694" ht="12.7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11"/>
      <c r="N694" s="1"/>
      <c r="O694" s="1"/>
      <c r="P694" s="1"/>
      <c r="Q694" s="1"/>
      <c r="R694" s="1"/>
      <c r="S694" s="1"/>
    </row>
    <row r="695" ht="12.7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11"/>
      <c r="N695" s="1"/>
      <c r="O695" s="1"/>
      <c r="P695" s="1"/>
      <c r="Q695" s="1"/>
      <c r="R695" s="1"/>
      <c r="S695" s="1"/>
    </row>
    <row r="696" ht="12.7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11"/>
      <c r="N696" s="1"/>
      <c r="O696" s="1"/>
      <c r="P696" s="1"/>
      <c r="Q696" s="1"/>
      <c r="R696" s="1"/>
      <c r="S696" s="1"/>
    </row>
    <row r="697" ht="12.7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11"/>
      <c r="N697" s="1"/>
      <c r="O697" s="1"/>
      <c r="P697" s="1"/>
      <c r="Q697" s="1"/>
      <c r="R697" s="1"/>
      <c r="S697" s="1"/>
    </row>
    <row r="698" ht="12.7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11"/>
      <c r="N698" s="1"/>
      <c r="O698" s="1"/>
      <c r="P698" s="1"/>
      <c r="Q698" s="1"/>
      <c r="R698" s="1"/>
      <c r="S698" s="1"/>
    </row>
    <row r="699" ht="12.7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11"/>
      <c r="N699" s="1"/>
      <c r="O699" s="1"/>
      <c r="P699" s="1"/>
      <c r="Q699" s="1"/>
      <c r="R699" s="1"/>
      <c r="S699" s="1"/>
    </row>
    <row r="700" ht="12.7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11"/>
      <c r="N700" s="1"/>
      <c r="O700" s="1"/>
      <c r="P700" s="1"/>
      <c r="Q700" s="1"/>
      <c r="R700" s="1"/>
      <c r="S700" s="1"/>
    </row>
    <row r="701" ht="12.7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11"/>
      <c r="N701" s="1"/>
      <c r="O701" s="1"/>
      <c r="P701" s="1"/>
      <c r="Q701" s="1"/>
      <c r="R701" s="1"/>
      <c r="S701" s="1"/>
    </row>
    <row r="702" ht="12.7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11"/>
      <c r="N702" s="1"/>
      <c r="O702" s="1"/>
      <c r="P702" s="1"/>
      <c r="Q702" s="1"/>
      <c r="R702" s="1"/>
      <c r="S702" s="1"/>
    </row>
    <row r="703" ht="12.7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11"/>
      <c r="N703" s="1"/>
      <c r="O703" s="1"/>
      <c r="P703" s="1"/>
      <c r="Q703" s="1"/>
      <c r="R703" s="1"/>
      <c r="S703" s="1"/>
    </row>
    <row r="704" ht="12.7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11"/>
      <c r="N704" s="1"/>
      <c r="O704" s="1"/>
      <c r="P704" s="1"/>
      <c r="Q704" s="1"/>
      <c r="R704" s="1"/>
      <c r="S704" s="1"/>
    </row>
    <row r="705" ht="12.7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11"/>
      <c r="N705" s="1"/>
      <c r="O705" s="1"/>
      <c r="P705" s="1"/>
      <c r="Q705" s="1"/>
      <c r="R705" s="1"/>
      <c r="S705" s="1"/>
    </row>
    <row r="706" ht="12.7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11"/>
      <c r="N706" s="1"/>
      <c r="O706" s="1"/>
      <c r="P706" s="1"/>
      <c r="Q706" s="1"/>
      <c r="R706" s="1"/>
      <c r="S706" s="1"/>
    </row>
    <row r="707" ht="12.7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11"/>
      <c r="N707" s="1"/>
      <c r="O707" s="1"/>
      <c r="P707" s="1"/>
      <c r="Q707" s="1"/>
      <c r="R707" s="1"/>
      <c r="S707" s="1"/>
    </row>
    <row r="708" ht="12.7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11"/>
      <c r="N708" s="1"/>
      <c r="O708" s="1"/>
      <c r="P708" s="1"/>
      <c r="Q708" s="1"/>
      <c r="R708" s="1"/>
      <c r="S708" s="1"/>
    </row>
    <row r="709" ht="12.7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11"/>
      <c r="N709" s="1"/>
      <c r="O709" s="1"/>
      <c r="P709" s="1"/>
      <c r="Q709" s="1"/>
      <c r="R709" s="1"/>
      <c r="S709" s="1"/>
    </row>
    <row r="710" ht="12.7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11"/>
      <c r="N710" s="1"/>
      <c r="O710" s="1"/>
      <c r="P710" s="1"/>
      <c r="Q710" s="1"/>
      <c r="R710" s="1"/>
      <c r="S710" s="1"/>
    </row>
    <row r="711" ht="12.7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11"/>
      <c r="N711" s="1"/>
      <c r="O711" s="1"/>
      <c r="P711" s="1"/>
      <c r="Q711" s="1"/>
      <c r="R711" s="1"/>
      <c r="S711" s="1"/>
    </row>
    <row r="712" ht="12.7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11"/>
      <c r="N712" s="1"/>
      <c r="O712" s="1"/>
      <c r="P712" s="1"/>
      <c r="Q712" s="1"/>
      <c r="R712" s="1"/>
      <c r="S712" s="1"/>
    </row>
    <row r="713" ht="12.7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11"/>
      <c r="N713" s="1"/>
      <c r="O713" s="1"/>
      <c r="P713" s="1"/>
      <c r="Q713" s="1"/>
      <c r="R713" s="1"/>
      <c r="S713" s="1"/>
    </row>
    <row r="714" ht="12.7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11"/>
      <c r="N714" s="1"/>
      <c r="O714" s="1"/>
      <c r="P714" s="1"/>
      <c r="Q714" s="1"/>
      <c r="R714" s="1"/>
      <c r="S714" s="1"/>
    </row>
    <row r="715" ht="12.7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11"/>
      <c r="N715" s="1"/>
      <c r="O715" s="1"/>
      <c r="P715" s="1"/>
      <c r="Q715" s="1"/>
      <c r="R715" s="1"/>
      <c r="S715" s="1"/>
    </row>
    <row r="716" ht="12.7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11"/>
      <c r="N716" s="1"/>
      <c r="O716" s="1"/>
      <c r="P716" s="1"/>
      <c r="Q716" s="1"/>
      <c r="R716" s="1"/>
      <c r="S716" s="1"/>
    </row>
    <row r="717" ht="12.7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11"/>
      <c r="N717" s="1"/>
      <c r="O717" s="1"/>
      <c r="P717" s="1"/>
      <c r="Q717" s="1"/>
      <c r="R717" s="1"/>
      <c r="S717" s="1"/>
    </row>
    <row r="718" ht="12.7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11"/>
      <c r="N718" s="1"/>
      <c r="O718" s="1"/>
      <c r="P718" s="1"/>
      <c r="Q718" s="1"/>
      <c r="R718" s="1"/>
      <c r="S718" s="1"/>
    </row>
    <row r="719" ht="12.7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11"/>
      <c r="N719" s="1"/>
      <c r="O719" s="1"/>
      <c r="P719" s="1"/>
      <c r="Q719" s="1"/>
      <c r="R719" s="1"/>
      <c r="S719" s="1"/>
    </row>
    <row r="720" ht="12.7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11"/>
      <c r="N720" s="1"/>
      <c r="O720" s="1"/>
      <c r="P720" s="1"/>
      <c r="Q720" s="1"/>
      <c r="R720" s="1"/>
      <c r="S720" s="1"/>
    </row>
    <row r="721" ht="12.7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11"/>
      <c r="N721" s="1"/>
      <c r="O721" s="1"/>
      <c r="P721" s="1"/>
      <c r="Q721" s="1"/>
      <c r="R721" s="1"/>
      <c r="S721" s="1"/>
    </row>
    <row r="722" ht="12.7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11"/>
      <c r="N722" s="1"/>
      <c r="O722" s="1"/>
      <c r="P722" s="1"/>
      <c r="Q722" s="1"/>
      <c r="R722" s="1"/>
      <c r="S722" s="1"/>
    </row>
    <row r="723" ht="12.7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11"/>
      <c r="N723" s="1"/>
      <c r="O723" s="1"/>
      <c r="P723" s="1"/>
      <c r="Q723" s="1"/>
      <c r="R723" s="1"/>
      <c r="S723" s="1"/>
    </row>
    <row r="724" ht="12.7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11"/>
      <c r="N724" s="1"/>
      <c r="O724" s="1"/>
      <c r="P724" s="1"/>
      <c r="Q724" s="1"/>
      <c r="R724" s="1"/>
      <c r="S724" s="1"/>
    </row>
    <row r="725" ht="12.7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11"/>
      <c r="N725" s="1"/>
      <c r="O725" s="1"/>
      <c r="P725" s="1"/>
      <c r="Q725" s="1"/>
      <c r="R725" s="1"/>
      <c r="S725" s="1"/>
    </row>
    <row r="726" ht="12.7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11"/>
      <c r="N726" s="1"/>
      <c r="O726" s="1"/>
      <c r="P726" s="1"/>
      <c r="Q726" s="1"/>
      <c r="R726" s="1"/>
      <c r="S726" s="1"/>
    </row>
    <row r="727" ht="12.7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11"/>
      <c r="N727" s="1"/>
      <c r="O727" s="1"/>
      <c r="P727" s="1"/>
      <c r="Q727" s="1"/>
      <c r="R727" s="1"/>
      <c r="S727" s="1"/>
    </row>
    <row r="728" ht="12.7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11"/>
      <c r="N728" s="1"/>
      <c r="O728" s="1"/>
      <c r="P728" s="1"/>
      <c r="Q728" s="1"/>
      <c r="R728" s="1"/>
      <c r="S728" s="1"/>
    </row>
    <row r="729" ht="12.7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11"/>
      <c r="N729" s="1"/>
      <c r="O729" s="1"/>
      <c r="P729" s="1"/>
      <c r="Q729" s="1"/>
      <c r="R729" s="1"/>
      <c r="S729" s="1"/>
    </row>
    <row r="730" ht="12.7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11"/>
      <c r="N730" s="1"/>
      <c r="O730" s="1"/>
      <c r="P730" s="1"/>
      <c r="Q730" s="1"/>
      <c r="R730" s="1"/>
      <c r="S730" s="1"/>
    </row>
    <row r="731" ht="12.7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11"/>
      <c r="N731" s="1"/>
      <c r="O731" s="1"/>
      <c r="P731" s="1"/>
      <c r="Q731" s="1"/>
      <c r="R731" s="1"/>
      <c r="S731" s="1"/>
    </row>
    <row r="732" ht="12.7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11"/>
      <c r="N732" s="1"/>
      <c r="O732" s="1"/>
      <c r="P732" s="1"/>
      <c r="Q732" s="1"/>
      <c r="R732" s="1"/>
      <c r="S732" s="1"/>
    </row>
    <row r="733" ht="12.7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11"/>
      <c r="N733" s="1"/>
      <c r="O733" s="1"/>
      <c r="P733" s="1"/>
      <c r="Q733" s="1"/>
      <c r="R733" s="1"/>
      <c r="S733" s="1"/>
    </row>
    <row r="734" ht="12.7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11"/>
      <c r="N734" s="1"/>
      <c r="O734" s="1"/>
      <c r="P734" s="1"/>
      <c r="Q734" s="1"/>
      <c r="R734" s="1"/>
      <c r="S734" s="1"/>
    </row>
    <row r="735" ht="12.7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11"/>
      <c r="N735" s="1"/>
      <c r="O735" s="1"/>
      <c r="P735" s="1"/>
      <c r="Q735" s="1"/>
      <c r="R735" s="1"/>
      <c r="S735" s="1"/>
    </row>
    <row r="736" ht="12.7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11"/>
      <c r="N736" s="1"/>
      <c r="O736" s="1"/>
      <c r="P736" s="1"/>
      <c r="Q736" s="1"/>
      <c r="R736" s="1"/>
      <c r="S736" s="1"/>
    </row>
    <row r="737" ht="12.7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11"/>
      <c r="N737" s="1"/>
      <c r="O737" s="1"/>
      <c r="P737" s="1"/>
      <c r="Q737" s="1"/>
      <c r="R737" s="1"/>
      <c r="S737" s="1"/>
    </row>
    <row r="738" ht="12.7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11"/>
      <c r="N738" s="1"/>
      <c r="O738" s="1"/>
      <c r="P738" s="1"/>
      <c r="Q738" s="1"/>
      <c r="R738" s="1"/>
      <c r="S738" s="1"/>
    </row>
    <row r="739" ht="12.7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11"/>
      <c r="N739" s="1"/>
      <c r="O739" s="1"/>
      <c r="P739" s="1"/>
      <c r="Q739" s="1"/>
      <c r="R739" s="1"/>
      <c r="S739" s="1"/>
    </row>
    <row r="740" ht="12.7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11"/>
      <c r="N740" s="1"/>
      <c r="O740" s="1"/>
      <c r="P740" s="1"/>
      <c r="Q740" s="1"/>
      <c r="R740" s="1"/>
      <c r="S740" s="1"/>
    </row>
    <row r="741" ht="12.7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11"/>
      <c r="N741" s="1"/>
      <c r="O741" s="1"/>
      <c r="P741" s="1"/>
      <c r="Q741" s="1"/>
      <c r="R741" s="1"/>
      <c r="S741" s="1"/>
    </row>
    <row r="742" ht="12.7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11"/>
      <c r="N742" s="1"/>
      <c r="O742" s="1"/>
      <c r="P742" s="1"/>
      <c r="Q742" s="1"/>
      <c r="R742" s="1"/>
      <c r="S742" s="1"/>
    </row>
    <row r="743" ht="12.7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11"/>
      <c r="N743" s="1"/>
      <c r="O743" s="1"/>
      <c r="P743" s="1"/>
      <c r="Q743" s="1"/>
      <c r="R743" s="1"/>
      <c r="S743" s="1"/>
    </row>
    <row r="744" ht="12.7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11"/>
      <c r="N744" s="1"/>
      <c r="O744" s="1"/>
      <c r="P744" s="1"/>
      <c r="Q744" s="1"/>
      <c r="R744" s="1"/>
      <c r="S744" s="1"/>
    </row>
    <row r="745" ht="12.7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11"/>
      <c r="N745" s="1"/>
      <c r="O745" s="1"/>
      <c r="P745" s="1"/>
      <c r="Q745" s="1"/>
      <c r="R745" s="1"/>
      <c r="S745" s="1"/>
    </row>
    <row r="746" ht="12.7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11"/>
      <c r="N746" s="1"/>
      <c r="O746" s="1"/>
      <c r="P746" s="1"/>
      <c r="Q746" s="1"/>
      <c r="R746" s="1"/>
      <c r="S746" s="1"/>
    </row>
    <row r="747" ht="12.7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11"/>
      <c r="N747" s="1"/>
      <c r="O747" s="1"/>
      <c r="P747" s="1"/>
      <c r="Q747" s="1"/>
      <c r="R747" s="1"/>
      <c r="S747" s="1"/>
    </row>
    <row r="748" ht="12.7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11"/>
      <c r="N748" s="1"/>
      <c r="O748" s="1"/>
      <c r="P748" s="1"/>
      <c r="Q748" s="1"/>
      <c r="R748" s="1"/>
      <c r="S748" s="1"/>
    </row>
    <row r="749" ht="12.7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11"/>
      <c r="N749" s="1"/>
      <c r="O749" s="1"/>
      <c r="P749" s="1"/>
      <c r="Q749" s="1"/>
      <c r="R749" s="1"/>
      <c r="S749" s="1"/>
    </row>
    <row r="750" ht="12.7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11"/>
      <c r="N750" s="1"/>
      <c r="O750" s="1"/>
      <c r="P750" s="1"/>
      <c r="Q750" s="1"/>
      <c r="R750" s="1"/>
      <c r="S750" s="1"/>
    </row>
    <row r="751" ht="12.7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11"/>
      <c r="N751" s="1"/>
      <c r="O751" s="1"/>
      <c r="P751" s="1"/>
      <c r="Q751" s="1"/>
      <c r="R751" s="1"/>
      <c r="S751" s="1"/>
    </row>
    <row r="752" ht="12.7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11"/>
      <c r="N752" s="1"/>
      <c r="O752" s="1"/>
      <c r="P752" s="1"/>
      <c r="Q752" s="1"/>
      <c r="R752" s="1"/>
      <c r="S752" s="1"/>
    </row>
    <row r="753" ht="12.7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11"/>
      <c r="N753" s="1"/>
      <c r="O753" s="1"/>
      <c r="P753" s="1"/>
      <c r="Q753" s="1"/>
      <c r="R753" s="1"/>
      <c r="S753" s="1"/>
    </row>
    <row r="754" ht="12.7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11"/>
      <c r="N754" s="1"/>
      <c r="O754" s="1"/>
      <c r="P754" s="1"/>
      <c r="Q754" s="1"/>
      <c r="R754" s="1"/>
      <c r="S754" s="1"/>
    </row>
    <row r="755" ht="12.7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11"/>
      <c r="N755" s="1"/>
      <c r="O755" s="1"/>
      <c r="P755" s="1"/>
      <c r="Q755" s="1"/>
      <c r="R755" s="1"/>
      <c r="S755" s="1"/>
    </row>
    <row r="756" ht="12.7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11"/>
      <c r="N756" s="1"/>
      <c r="O756" s="1"/>
      <c r="P756" s="1"/>
      <c r="Q756" s="1"/>
      <c r="R756" s="1"/>
      <c r="S756" s="1"/>
    </row>
    <row r="757" ht="12.7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11"/>
      <c r="N757" s="1"/>
      <c r="O757" s="1"/>
      <c r="P757" s="1"/>
      <c r="Q757" s="1"/>
      <c r="R757" s="1"/>
      <c r="S757" s="1"/>
    </row>
    <row r="758" ht="12.7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11"/>
      <c r="N758" s="1"/>
      <c r="O758" s="1"/>
      <c r="P758" s="1"/>
      <c r="Q758" s="1"/>
      <c r="R758" s="1"/>
      <c r="S758" s="1"/>
    </row>
    <row r="759" ht="12.7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11"/>
      <c r="N759" s="1"/>
      <c r="O759" s="1"/>
      <c r="P759" s="1"/>
      <c r="Q759" s="1"/>
      <c r="R759" s="1"/>
      <c r="S759" s="1"/>
    </row>
    <row r="760" ht="12.7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11"/>
      <c r="N760" s="1"/>
      <c r="O760" s="1"/>
      <c r="P760" s="1"/>
      <c r="Q760" s="1"/>
      <c r="R760" s="1"/>
      <c r="S760" s="1"/>
    </row>
    <row r="761" ht="12.7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11"/>
      <c r="N761" s="1"/>
      <c r="O761" s="1"/>
      <c r="P761" s="1"/>
      <c r="Q761" s="1"/>
      <c r="R761" s="1"/>
      <c r="S761" s="1"/>
    </row>
    <row r="762" ht="12.7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11"/>
      <c r="N762" s="1"/>
      <c r="O762" s="1"/>
      <c r="P762" s="1"/>
      <c r="Q762" s="1"/>
      <c r="R762" s="1"/>
      <c r="S762" s="1"/>
    </row>
    <row r="763" ht="12.7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11"/>
      <c r="N763" s="1"/>
      <c r="O763" s="1"/>
      <c r="P763" s="1"/>
      <c r="Q763" s="1"/>
      <c r="R763" s="1"/>
      <c r="S763" s="1"/>
    </row>
    <row r="764" ht="12.7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11"/>
      <c r="N764" s="1"/>
      <c r="O764" s="1"/>
      <c r="P764" s="1"/>
      <c r="Q764" s="1"/>
      <c r="R764" s="1"/>
      <c r="S764" s="1"/>
    </row>
    <row r="765" ht="12.7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11"/>
      <c r="N765" s="1"/>
      <c r="O765" s="1"/>
      <c r="P765" s="1"/>
      <c r="Q765" s="1"/>
      <c r="R765" s="1"/>
      <c r="S765" s="1"/>
    </row>
    <row r="766" ht="12.7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11"/>
      <c r="N766" s="1"/>
      <c r="O766" s="1"/>
      <c r="P766" s="1"/>
      <c r="Q766" s="1"/>
      <c r="R766" s="1"/>
      <c r="S766" s="1"/>
    </row>
    <row r="767" ht="12.7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11"/>
      <c r="N767" s="1"/>
      <c r="O767" s="1"/>
      <c r="P767" s="1"/>
      <c r="Q767" s="1"/>
      <c r="R767" s="1"/>
      <c r="S767" s="1"/>
    </row>
    <row r="768" ht="12.7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11"/>
      <c r="N768" s="1"/>
      <c r="O768" s="1"/>
      <c r="P768" s="1"/>
      <c r="Q768" s="1"/>
      <c r="R768" s="1"/>
      <c r="S768" s="1"/>
    </row>
    <row r="769" ht="12.7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11"/>
      <c r="N769" s="1"/>
      <c r="O769" s="1"/>
      <c r="P769" s="1"/>
      <c r="Q769" s="1"/>
      <c r="R769" s="1"/>
      <c r="S769" s="1"/>
    </row>
    <row r="770" ht="12.7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11"/>
      <c r="N770" s="1"/>
      <c r="O770" s="1"/>
      <c r="P770" s="1"/>
      <c r="Q770" s="1"/>
      <c r="R770" s="1"/>
      <c r="S770" s="1"/>
    </row>
    <row r="771" ht="12.7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11"/>
      <c r="N771" s="1"/>
      <c r="O771" s="1"/>
      <c r="P771" s="1"/>
      <c r="Q771" s="1"/>
      <c r="R771" s="1"/>
      <c r="S771" s="1"/>
    </row>
    <row r="772" ht="12.7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11"/>
      <c r="N772" s="1"/>
      <c r="O772" s="1"/>
      <c r="P772" s="1"/>
      <c r="Q772" s="1"/>
      <c r="R772" s="1"/>
      <c r="S772" s="1"/>
    </row>
    <row r="773" ht="12.7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11"/>
      <c r="N773" s="1"/>
      <c r="O773" s="1"/>
      <c r="P773" s="1"/>
      <c r="Q773" s="1"/>
      <c r="R773" s="1"/>
      <c r="S773" s="1"/>
    </row>
    <row r="774" ht="12.7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11"/>
      <c r="N774" s="1"/>
      <c r="O774" s="1"/>
      <c r="P774" s="1"/>
      <c r="Q774" s="1"/>
      <c r="R774" s="1"/>
      <c r="S774" s="1"/>
    </row>
    <row r="775" ht="12.7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11"/>
      <c r="N775" s="1"/>
      <c r="O775" s="1"/>
      <c r="P775" s="1"/>
      <c r="Q775" s="1"/>
      <c r="R775" s="1"/>
      <c r="S775" s="1"/>
    </row>
    <row r="776" ht="12.7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11"/>
      <c r="N776" s="1"/>
      <c r="O776" s="1"/>
      <c r="P776" s="1"/>
      <c r="Q776" s="1"/>
      <c r="R776" s="1"/>
      <c r="S776" s="1"/>
    </row>
    <row r="777" ht="12.7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11"/>
      <c r="N777" s="1"/>
      <c r="O777" s="1"/>
      <c r="P777" s="1"/>
      <c r="Q777" s="1"/>
      <c r="R777" s="1"/>
      <c r="S777" s="1"/>
    </row>
    <row r="778" ht="12.7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11"/>
      <c r="N778" s="1"/>
      <c r="O778" s="1"/>
      <c r="P778" s="1"/>
      <c r="Q778" s="1"/>
      <c r="R778" s="1"/>
      <c r="S778" s="1"/>
    </row>
    <row r="779" ht="12.7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11"/>
      <c r="N779" s="1"/>
      <c r="O779" s="1"/>
      <c r="P779" s="1"/>
      <c r="Q779" s="1"/>
      <c r="R779" s="1"/>
      <c r="S779" s="1"/>
    </row>
    <row r="780" ht="12.7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11"/>
      <c r="N780" s="1"/>
      <c r="O780" s="1"/>
      <c r="P780" s="1"/>
      <c r="Q780" s="1"/>
      <c r="R780" s="1"/>
      <c r="S780" s="1"/>
    </row>
    <row r="781" ht="12.7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11"/>
      <c r="N781" s="1"/>
      <c r="O781" s="1"/>
      <c r="P781" s="1"/>
      <c r="Q781" s="1"/>
      <c r="R781" s="1"/>
      <c r="S781" s="1"/>
    </row>
    <row r="782" ht="12.7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11"/>
      <c r="N782" s="1"/>
      <c r="O782" s="1"/>
      <c r="P782" s="1"/>
      <c r="Q782" s="1"/>
      <c r="R782" s="1"/>
      <c r="S782" s="1"/>
    </row>
    <row r="783" ht="12.7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11"/>
      <c r="N783" s="1"/>
      <c r="O783" s="1"/>
      <c r="P783" s="1"/>
      <c r="Q783" s="1"/>
      <c r="R783" s="1"/>
      <c r="S783" s="1"/>
    </row>
    <row r="784" ht="12.7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11"/>
      <c r="N784" s="1"/>
      <c r="O784" s="1"/>
      <c r="P784" s="1"/>
      <c r="Q784" s="1"/>
      <c r="R784" s="1"/>
      <c r="S784" s="1"/>
    </row>
    <row r="785" ht="12.7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11"/>
      <c r="N785" s="1"/>
      <c r="O785" s="1"/>
      <c r="P785" s="1"/>
      <c r="Q785" s="1"/>
      <c r="R785" s="1"/>
      <c r="S785" s="1"/>
    </row>
    <row r="786" ht="12.7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11"/>
      <c r="N786" s="1"/>
      <c r="O786" s="1"/>
      <c r="P786" s="1"/>
      <c r="Q786" s="1"/>
      <c r="R786" s="1"/>
      <c r="S786" s="1"/>
    </row>
    <row r="787" ht="12.7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11"/>
      <c r="N787" s="1"/>
      <c r="O787" s="1"/>
      <c r="P787" s="1"/>
      <c r="Q787" s="1"/>
      <c r="R787" s="1"/>
      <c r="S787" s="1"/>
    </row>
    <row r="788" ht="12.7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11"/>
      <c r="N788" s="1"/>
      <c r="O788" s="1"/>
      <c r="P788" s="1"/>
      <c r="Q788" s="1"/>
      <c r="R788" s="1"/>
      <c r="S788" s="1"/>
    </row>
    <row r="789" ht="12.7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11"/>
      <c r="N789" s="1"/>
      <c r="O789" s="1"/>
      <c r="P789" s="1"/>
      <c r="Q789" s="1"/>
      <c r="R789" s="1"/>
      <c r="S789" s="1"/>
    </row>
    <row r="790" ht="12.7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11"/>
      <c r="N790" s="1"/>
      <c r="O790" s="1"/>
      <c r="P790" s="1"/>
      <c r="Q790" s="1"/>
      <c r="R790" s="1"/>
      <c r="S790" s="1"/>
    </row>
    <row r="791" ht="12.7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11"/>
      <c r="N791" s="1"/>
      <c r="O791" s="1"/>
      <c r="P791" s="1"/>
      <c r="Q791" s="1"/>
      <c r="R791" s="1"/>
      <c r="S791" s="1"/>
    </row>
    <row r="792" ht="12.7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11"/>
      <c r="N792" s="1"/>
      <c r="O792" s="1"/>
      <c r="P792" s="1"/>
      <c r="Q792" s="1"/>
      <c r="R792" s="1"/>
      <c r="S792" s="1"/>
    </row>
    <row r="793" ht="12.7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11"/>
      <c r="N793" s="1"/>
      <c r="O793" s="1"/>
      <c r="P793" s="1"/>
      <c r="Q793" s="1"/>
      <c r="R793" s="1"/>
      <c r="S793" s="1"/>
    </row>
    <row r="794" ht="12.7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11"/>
      <c r="N794" s="1"/>
      <c r="O794" s="1"/>
      <c r="P794" s="1"/>
      <c r="Q794" s="1"/>
      <c r="R794" s="1"/>
      <c r="S794" s="1"/>
    </row>
    <row r="795" ht="12.7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11"/>
      <c r="N795" s="1"/>
      <c r="O795" s="1"/>
      <c r="P795" s="1"/>
      <c r="Q795" s="1"/>
      <c r="R795" s="1"/>
      <c r="S795" s="1"/>
    </row>
    <row r="796" ht="12.7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11"/>
      <c r="N796" s="1"/>
      <c r="O796" s="1"/>
      <c r="P796" s="1"/>
      <c r="Q796" s="1"/>
      <c r="R796" s="1"/>
      <c r="S796" s="1"/>
    </row>
    <row r="797" ht="12.7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11"/>
      <c r="N797" s="1"/>
      <c r="O797" s="1"/>
      <c r="P797" s="1"/>
      <c r="Q797" s="1"/>
      <c r="R797" s="1"/>
      <c r="S797" s="1"/>
    </row>
    <row r="798" ht="12.7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11"/>
      <c r="N798" s="1"/>
      <c r="O798" s="1"/>
      <c r="P798" s="1"/>
      <c r="Q798" s="1"/>
      <c r="R798" s="1"/>
      <c r="S798" s="1"/>
    </row>
    <row r="799" ht="12.7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11"/>
      <c r="N799" s="1"/>
      <c r="O799" s="1"/>
      <c r="P799" s="1"/>
      <c r="Q799" s="1"/>
      <c r="R799" s="1"/>
      <c r="S799" s="1"/>
    </row>
    <row r="800" ht="12.7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11"/>
      <c r="N800" s="1"/>
      <c r="O800" s="1"/>
      <c r="P800" s="1"/>
      <c r="Q800" s="1"/>
      <c r="R800" s="1"/>
      <c r="S800" s="1"/>
    </row>
    <row r="801" ht="12.7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11"/>
      <c r="N801" s="1"/>
      <c r="O801" s="1"/>
      <c r="P801" s="1"/>
      <c r="Q801" s="1"/>
      <c r="R801" s="1"/>
      <c r="S801" s="1"/>
    </row>
    <row r="802" ht="12.7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11"/>
      <c r="N802" s="1"/>
      <c r="O802" s="1"/>
      <c r="P802" s="1"/>
      <c r="Q802" s="1"/>
      <c r="R802" s="1"/>
      <c r="S802" s="1"/>
    </row>
    <row r="803" ht="12.7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11"/>
      <c r="N803" s="1"/>
      <c r="O803" s="1"/>
      <c r="P803" s="1"/>
      <c r="Q803" s="1"/>
      <c r="R803" s="1"/>
      <c r="S803" s="1"/>
    </row>
    <row r="804" ht="12.7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11"/>
      <c r="N804" s="1"/>
      <c r="O804" s="1"/>
      <c r="P804" s="1"/>
      <c r="Q804" s="1"/>
      <c r="R804" s="1"/>
      <c r="S804" s="1"/>
    </row>
    <row r="805" ht="12.7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11"/>
      <c r="N805" s="1"/>
      <c r="O805" s="1"/>
      <c r="P805" s="1"/>
      <c r="Q805" s="1"/>
      <c r="R805" s="1"/>
      <c r="S805" s="1"/>
    </row>
    <row r="806" ht="12.7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11"/>
      <c r="N806" s="1"/>
      <c r="O806" s="1"/>
      <c r="P806" s="1"/>
      <c r="Q806" s="1"/>
      <c r="R806" s="1"/>
      <c r="S806" s="1"/>
    </row>
    <row r="807" ht="12.7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11"/>
      <c r="N807" s="1"/>
      <c r="O807" s="1"/>
      <c r="P807" s="1"/>
      <c r="Q807" s="1"/>
      <c r="R807" s="1"/>
      <c r="S807" s="1"/>
    </row>
    <row r="808" ht="12.7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11"/>
      <c r="N808" s="1"/>
      <c r="O808" s="1"/>
      <c r="P808" s="1"/>
      <c r="Q808" s="1"/>
      <c r="R808" s="1"/>
      <c r="S808" s="1"/>
    </row>
    <row r="809" ht="12.7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11"/>
      <c r="N809" s="1"/>
      <c r="O809" s="1"/>
      <c r="P809" s="1"/>
      <c r="Q809" s="1"/>
      <c r="R809" s="1"/>
      <c r="S809" s="1"/>
    </row>
    <row r="810" ht="12.7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11"/>
      <c r="N810" s="1"/>
      <c r="O810" s="1"/>
      <c r="P810" s="1"/>
      <c r="Q810" s="1"/>
      <c r="R810" s="1"/>
      <c r="S810" s="1"/>
    </row>
    <row r="811" ht="12.7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11"/>
      <c r="N811" s="1"/>
      <c r="O811" s="1"/>
      <c r="P811" s="1"/>
      <c r="Q811" s="1"/>
      <c r="R811" s="1"/>
      <c r="S811" s="1"/>
    </row>
    <row r="812" ht="12.7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11"/>
      <c r="N812" s="1"/>
      <c r="O812" s="1"/>
      <c r="P812" s="1"/>
      <c r="Q812" s="1"/>
      <c r="R812" s="1"/>
      <c r="S812" s="1"/>
    </row>
    <row r="813" ht="12.7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11"/>
      <c r="N813" s="1"/>
      <c r="O813" s="1"/>
      <c r="P813" s="1"/>
      <c r="Q813" s="1"/>
      <c r="R813" s="1"/>
      <c r="S813" s="1"/>
    </row>
    <row r="814" ht="12.7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11"/>
      <c r="N814" s="1"/>
      <c r="O814" s="1"/>
      <c r="P814" s="1"/>
      <c r="Q814" s="1"/>
      <c r="R814" s="1"/>
      <c r="S814" s="1"/>
    </row>
    <row r="815" ht="12.7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11"/>
      <c r="N815" s="1"/>
      <c r="O815" s="1"/>
      <c r="P815" s="1"/>
      <c r="Q815" s="1"/>
      <c r="R815" s="1"/>
      <c r="S815" s="1"/>
    </row>
    <row r="816" ht="12.7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11"/>
      <c r="N816" s="1"/>
      <c r="O816" s="1"/>
      <c r="P816" s="1"/>
      <c r="Q816" s="1"/>
      <c r="R816" s="1"/>
      <c r="S816" s="1"/>
    </row>
    <row r="817" ht="12.7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11"/>
      <c r="N817" s="1"/>
      <c r="O817" s="1"/>
      <c r="P817" s="1"/>
      <c r="Q817" s="1"/>
      <c r="R817" s="1"/>
      <c r="S817" s="1"/>
    </row>
    <row r="818" ht="12.7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11"/>
      <c r="N818" s="1"/>
      <c r="O818" s="1"/>
      <c r="P818" s="1"/>
      <c r="Q818" s="1"/>
      <c r="R818" s="1"/>
      <c r="S818" s="1"/>
    </row>
    <row r="819" ht="12.7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11"/>
      <c r="N819" s="1"/>
      <c r="O819" s="1"/>
      <c r="P819" s="1"/>
      <c r="Q819" s="1"/>
      <c r="R819" s="1"/>
      <c r="S819" s="1"/>
    </row>
    <row r="820" ht="12.7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11"/>
      <c r="N820" s="1"/>
      <c r="O820" s="1"/>
      <c r="P820" s="1"/>
      <c r="Q820" s="1"/>
      <c r="R820" s="1"/>
      <c r="S820" s="1"/>
    </row>
    <row r="821" ht="12.7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11"/>
      <c r="N821" s="1"/>
      <c r="O821" s="1"/>
      <c r="P821" s="1"/>
      <c r="Q821" s="1"/>
      <c r="R821" s="1"/>
      <c r="S821" s="1"/>
    </row>
    <row r="822" ht="12.7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11"/>
      <c r="N822" s="1"/>
      <c r="O822" s="1"/>
      <c r="P822" s="1"/>
      <c r="Q822" s="1"/>
      <c r="R822" s="1"/>
      <c r="S822" s="1"/>
    </row>
    <row r="823" ht="12.7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11"/>
      <c r="N823" s="1"/>
      <c r="O823" s="1"/>
      <c r="P823" s="1"/>
      <c r="Q823" s="1"/>
      <c r="R823" s="1"/>
      <c r="S823" s="1"/>
    </row>
    <row r="824" ht="12.7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11"/>
      <c r="N824" s="1"/>
      <c r="O824" s="1"/>
      <c r="P824" s="1"/>
      <c r="Q824" s="1"/>
      <c r="R824" s="1"/>
      <c r="S824" s="1"/>
    </row>
    <row r="825" ht="12.7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11"/>
      <c r="N825" s="1"/>
      <c r="O825" s="1"/>
      <c r="P825" s="1"/>
      <c r="Q825" s="1"/>
      <c r="R825" s="1"/>
      <c r="S825" s="1"/>
    </row>
    <row r="826" ht="12.7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11"/>
      <c r="N826" s="1"/>
      <c r="O826" s="1"/>
      <c r="P826" s="1"/>
      <c r="Q826" s="1"/>
      <c r="R826" s="1"/>
      <c r="S826" s="1"/>
    </row>
    <row r="827" ht="12.7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11"/>
      <c r="N827" s="1"/>
      <c r="O827" s="1"/>
      <c r="P827" s="1"/>
      <c r="Q827" s="1"/>
      <c r="R827" s="1"/>
      <c r="S827" s="1"/>
    </row>
    <row r="828" ht="12.7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11"/>
      <c r="N828" s="1"/>
      <c r="O828" s="1"/>
      <c r="P828" s="1"/>
      <c r="Q828" s="1"/>
      <c r="R828" s="1"/>
      <c r="S828" s="1"/>
    </row>
    <row r="829" ht="12.7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11"/>
      <c r="N829" s="1"/>
      <c r="O829" s="1"/>
      <c r="P829" s="1"/>
      <c r="Q829" s="1"/>
      <c r="R829" s="1"/>
      <c r="S829" s="1"/>
    </row>
    <row r="830" ht="12.7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11"/>
      <c r="N830" s="1"/>
      <c r="O830" s="1"/>
      <c r="P830" s="1"/>
      <c r="Q830" s="1"/>
      <c r="R830" s="1"/>
      <c r="S830" s="1"/>
    </row>
    <row r="831" ht="12.7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11"/>
      <c r="N831" s="1"/>
      <c r="O831" s="1"/>
      <c r="P831" s="1"/>
      <c r="Q831" s="1"/>
      <c r="R831" s="1"/>
      <c r="S831" s="1"/>
    </row>
    <row r="832" ht="12.7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11"/>
      <c r="N832" s="1"/>
      <c r="O832" s="1"/>
      <c r="P832" s="1"/>
      <c r="Q832" s="1"/>
      <c r="R832" s="1"/>
      <c r="S832" s="1"/>
    </row>
    <row r="833" ht="12.7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11"/>
      <c r="N833" s="1"/>
      <c r="O833" s="1"/>
      <c r="P833" s="1"/>
      <c r="Q833" s="1"/>
      <c r="R833" s="1"/>
      <c r="S833" s="1"/>
    </row>
    <row r="834" ht="12.7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11"/>
      <c r="N834" s="1"/>
      <c r="O834" s="1"/>
      <c r="P834" s="1"/>
      <c r="Q834" s="1"/>
      <c r="R834" s="1"/>
      <c r="S834" s="1"/>
    </row>
    <row r="835" ht="12.7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11"/>
      <c r="N835" s="1"/>
      <c r="O835" s="1"/>
      <c r="P835" s="1"/>
      <c r="Q835" s="1"/>
      <c r="R835" s="1"/>
      <c r="S835" s="1"/>
    </row>
    <row r="836" ht="12.7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11"/>
      <c r="N836" s="1"/>
      <c r="O836" s="1"/>
      <c r="P836" s="1"/>
      <c r="Q836" s="1"/>
      <c r="R836" s="1"/>
      <c r="S836" s="1"/>
    </row>
    <row r="837" ht="12.7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11"/>
      <c r="N837" s="1"/>
      <c r="O837" s="1"/>
      <c r="P837" s="1"/>
      <c r="Q837" s="1"/>
      <c r="R837" s="1"/>
      <c r="S837" s="1"/>
    </row>
    <row r="838" ht="12.7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11"/>
      <c r="N838" s="1"/>
      <c r="O838" s="1"/>
      <c r="P838" s="1"/>
      <c r="Q838" s="1"/>
      <c r="R838" s="1"/>
      <c r="S838" s="1"/>
    </row>
    <row r="839" ht="12.7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11"/>
      <c r="N839" s="1"/>
      <c r="O839" s="1"/>
      <c r="P839" s="1"/>
      <c r="Q839" s="1"/>
      <c r="R839" s="1"/>
      <c r="S839" s="1"/>
    </row>
    <row r="840" ht="12.7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11"/>
      <c r="N840" s="1"/>
      <c r="O840" s="1"/>
      <c r="P840" s="1"/>
      <c r="Q840" s="1"/>
      <c r="R840" s="1"/>
      <c r="S840" s="1"/>
    </row>
    <row r="841" ht="12.7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11"/>
      <c r="N841" s="1"/>
      <c r="O841" s="1"/>
      <c r="P841" s="1"/>
      <c r="Q841" s="1"/>
      <c r="R841" s="1"/>
      <c r="S841" s="1"/>
    </row>
    <row r="842" ht="12.7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11"/>
      <c r="N842" s="1"/>
      <c r="O842" s="1"/>
      <c r="P842" s="1"/>
      <c r="Q842" s="1"/>
      <c r="R842" s="1"/>
      <c r="S842" s="1"/>
    </row>
    <row r="843" ht="12.7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11"/>
      <c r="N843" s="1"/>
      <c r="O843" s="1"/>
      <c r="P843" s="1"/>
      <c r="Q843" s="1"/>
      <c r="R843" s="1"/>
      <c r="S843" s="1"/>
    </row>
    <row r="844" ht="12.7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11"/>
      <c r="N844" s="1"/>
      <c r="O844" s="1"/>
      <c r="P844" s="1"/>
      <c r="Q844" s="1"/>
      <c r="R844" s="1"/>
      <c r="S844" s="1"/>
    </row>
    <row r="845" ht="12.7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11"/>
      <c r="N845" s="1"/>
      <c r="O845" s="1"/>
      <c r="P845" s="1"/>
      <c r="Q845" s="1"/>
      <c r="R845" s="1"/>
      <c r="S845" s="1"/>
    </row>
    <row r="846" ht="12.7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11"/>
      <c r="N846" s="1"/>
      <c r="O846" s="1"/>
      <c r="P846" s="1"/>
      <c r="Q846" s="1"/>
      <c r="R846" s="1"/>
      <c r="S846" s="1"/>
    </row>
    <row r="847" ht="12.7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11"/>
      <c r="N847" s="1"/>
      <c r="O847" s="1"/>
      <c r="P847" s="1"/>
      <c r="Q847" s="1"/>
      <c r="R847" s="1"/>
      <c r="S847" s="1"/>
    </row>
    <row r="848" ht="12.7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11"/>
      <c r="N848" s="1"/>
      <c r="O848" s="1"/>
      <c r="P848" s="1"/>
      <c r="Q848" s="1"/>
      <c r="R848" s="1"/>
      <c r="S848" s="1"/>
    </row>
    <row r="849" ht="12.7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11"/>
      <c r="N849" s="1"/>
      <c r="O849" s="1"/>
      <c r="P849" s="1"/>
      <c r="Q849" s="1"/>
      <c r="R849" s="1"/>
      <c r="S849" s="1"/>
    </row>
    <row r="850" ht="12.7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11"/>
      <c r="N850" s="1"/>
      <c r="O850" s="1"/>
      <c r="P850" s="1"/>
      <c r="Q850" s="1"/>
      <c r="R850" s="1"/>
      <c r="S850" s="1"/>
    </row>
    <row r="851" ht="12.7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11"/>
      <c r="N851" s="1"/>
      <c r="O851" s="1"/>
      <c r="P851" s="1"/>
      <c r="Q851" s="1"/>
      <c r="R851" s="1"/>
      <c r="S851" s="1"/>
    </row>
    <row r="852" ht="12.7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11"/>
      <c r="N852" s="1"/>
      <c r="O852" s="1"/>
      <c r="P852" s="1"/>
      <c r="Q852" s="1"/>
      <c r="R852" s="1"/>
      <c r="S852" s="1"/>
    </row>
    <row r="853" ht="12.7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11"/>
      <c r="N853" s="1"/>
      <c r="O853" s="1"/>
      <c r="P853" s="1"/>
      <c r="Q853" s="1"/>
      <c r="R853" s="1"/>
      <c r="S853" s="1"/>
    </row>
    <row r="854" ht="12.7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11"/>
      <c r="N854" s="1"/>
      <c r="O854" s="1"/>
      <c r="P854" s="1"/>
      <c r="Q854" s="1"/>
      <c r="R854" s="1"/>
      <c r="S854" s="1"/>
    </row>
    <row r="855" ht="12.7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11"/>
      <c r="N855" s="1"/>
      <c r="O855" s="1"/>
      <c r="P855" s="1"/>
      <c r="Q855" s="1"/>
      <c r="R855" s="1"/>
      <c r="S855" s="1"/>
    </row>
    <row r="856" ht="12.7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11"/>
      <c r="N856" s="1"/>
      <c r="O856" s="1"/>
      <c r="P856" s="1"/>
      <c r="Q856" s="1"/>
      <c r="R856" s="1"/>
      <c r="S856" s="1"/>
    </row>
    <row r="857" ht="12.7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11"/>
      <c r="N857" s="1"/>
      <c r="O857" s="1"/>
      <c r="P857" s="1"/>
      <c r="Q857" s="1"/>
      <c r="R857" s="1"/>
      <c r="S857" s="1"/>
    </row>
    <row r="858" ht="12.7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11"/>
      <c r="N858" s="1"/>
      <c r="O858" s="1"/>
      <c r="P858" s="1"/>
      <c r="Q858" s="1"/>
      <c r="R858" s="1"/>
      <c r="S858" s="1"/>
    </row>
    <row r="859" ht="12.7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11"/>
      <c r="N859" s="1"/>
      <c r="O859" s="1"/>
      <c r="P859" s="1"/>
      <c r="Q859" s="1"/>
      <c r="R859" s="1"/>
      <c r="S859" s="1"/>
    </row>
    <row r="860" ht="12.7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11"/>
      <c r="N860" s="1"/>
      <c r="O860" s="1"/>
      <c r="P860" s="1"/>
      <c r="Q860" s="1"/>
      <c r="R860" s="1"/>
      <c r="S860" s="1"/>
    </row>
    <row r="861" ht="12.7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11"/>
      <c r="N861" s="1"/>
      <c r="O861" s="1"/>
      <c r="P861" s="1"/>
      <c r="Q861" s="1"/>
      <c r="R861" s="1"/>
      <c r="S861" s="1"/>
    </row>
    <row r="862" ht="12.7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11"/>
      <c r="N862" s="1"/>
      <c r="O862" s="1"/>
      <c r="P862" s="1"/>
      <c r="Q862" s="1"/>
      <c r="R862" s="1"/>
      <c r="S862" s="1"/>
    </row>
    <row r="863" ht="12.7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11"/>
      <c r="N863" s="1"/>
      <c r="O863" s="1"/>
      <c r="P863" s="1"/>
      <c r="Q863" s="1"/>
      <c r="R863" s="1"/>
      <c r="S863" s="1"/>
    </row>
    <row r="864" ht="12.7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11"/>
      <c r="N864" s="1"/>
      <c r="O864" s="1"/>
      <c r="P864" s="1"/>
      <c r="Q864" s="1"/>
      <c r="R864" s="1"/>
      <c r="S864" s="1"/>
    </row>
    <row r="865" ht="12.7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11"/>
      <c r="N865" s="1"/>
      <c r="O865" s="1"/>
      <c r="P865" s="1"/>
      <c r="Q865" s="1"/>
      <c r="R865" s="1"/>
      <c r="S865" s="1"/>
    </row>
    <row r="866" ht="12.7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11"/>
      <c r="N866" s="1"/>
      <c r="O866" s="1"/>
      <c r="P866" s="1"/>
      <c r="Q866" s="1"/>
      <c r="R866" s="1"/>
      <c r="S866" s="1"/>
    </row>
    <row r="867" ht="12.7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11"/>
      <c r="N867" s="1"/>
      <c r="O867" s="1"/>
      <c r="P867" s="1"/>
      <c r="Q867" s="1"/>
      <c r="R867" s="1"/>
      <c r="S867" s="1"/>
    </row>
    <row r="868" ht="12.7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11"/>
      <c r="N868" s="1"/>
      <c r="O868" s="1"/>
      <c r="P868" s="1"/>
      <c r="Q868" s="1"/>
      <c r="R868" s="1"/>
      <c r="S868" s="1"/>
    </row>
    <row r="869" ht="12.7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11"/>
      <c r="N869" s="1"/>
      <c r="O869" s="1"/>
      <c r="P869" s="1"/>
      <c r="Q869" s="1"/>
      <c r="R869" s="1"/>
      <c r="S869" s="1"/>
    </row>
    <row r="870" ht="12.7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11"/>
      <c r="N870" s="1"/>
      <c r="O870" s="1"/>
      <c r="P870" s="1"/>
      <c r="Q870" s="1"/>
      <c r="R870" s="1"/>
      <c r="S870" s="1"/>
    </row>
    <row r="871" ht="12.7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11"/>
      <c r="N871" s="1"/>
      <c r="O871" s="1"/>
      <c r="P871" s="1"/>
      <c r="Q871" s="1"/>
      <c r="R871" s="1"/>
      <c r="S871" s="1"/>
    </row>
    <row r="872" ht="12.7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11"/>
      <c r="N872" s="1"/>
      <c r="O872" s="1"/>
      <c r="P872" s="1"/>
      <c r="Q872" s="1"/>
      <c r="R872" s="1"/>
      <c r="S872" s="1"/>
    </row>
    <row r="873" ht="12.7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11"/>
      <c r="N873" s="1"/>
      <c r="O873" s="1"/>
      <c r="P873" s="1"/>
      <c r="Q873" s="1"/>
      <c r="R873" s="1"/>
      <c r="S873" s="1"/>
    </row>
    <row r="874" ht="12.7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11"/>
      <c r="N874" s="1"/>
      <c r="O874" s="1"/>
      <c r="P874" s="1"/>
      <c r="Q874" s="1"/>
      <c r="R874" s="1"/>
      <c r="S874" s="1"/>
    </row>
    <row r="875" ht="12.7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11"/>
      <c r="N875" s="1"/>
      <c r="O875" s="1"/>
      <c r="P875" s="1"/>
      <c r="Q875" s="1"/>
      <c r="R875" s="1"/>
      <c r="S875" s="1"/>
    </row>
    <row r="876" ht="12.7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11"/>
      <c r="N876" s="1"/>
      <c r="O876" s="1"/>
      <c r="P876" s="1"/>
      <c r="Q876" s="1"/>
      <c r="R876" s="1"/>
      <c r="S876" s="1"/>
    </row>
    <row r="877" ht="12.7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11"/>
      <c r="N877" s="1"/>
      <c r="O877" s="1"/>
      <c r="P877" s="1"/>
      <c r="Q877" s="1"/>
      <c r="R877" s="1"/>
      <c r="S877" s="1"/>
    </row>
    <row r="878" ht="12.7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11"/>
      <c r="N878" s="1"/>
      <c r="O878" s="1"/>
      <c r="P878" s="1"/>
      <c r="Q878" s="1"/>
      <c r="R878" s="1"/>
      <c r="S878" s="1"/>
    </row>
    <row r="879" ht="12.7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11"/>
      <c r="N879" s="1"/>
      <c r="O879" s="1"/>
      <c r="P879" s="1"/>
      <c r="Q879" s="1"/>
      <c r="R879" s="1"/>
      <c r="S879" s="1"/>
    </row>
    <row r="880" ht="12.7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11"/>
      <c r="N880" s="1"/>
      <c r="O880" s="1"/>
      <c r="P880" s="1"/>
      <c r="Q880" s="1"/>
      <c r="R880" s="1"/>
      <c r="S880" s="1"/>
    </row>
    <row r="881" ht="12.7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11"/>
      <c r="N881" s="1"/>
      <c r="O881" s="1"/>
      <c r="P881" s="1"/>
      <c r="Q881" s="1"/>
      <c r="R881" s="1"/>
      <c r="S881" s="1"/>
    </row>
    <row r="882" ht="12.7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11"/>
      <c r="N882" s="1"/>
      <c r="O882" s="1"/>
      <c r="P882" s="1"/>
      <c r="Q882" s="1"/>
      <c r="R882" s="1"/>
      <c r="S882" s="1"/>
    </row>
    <row r="883" ht="12.7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11"/>
      <c r="N883" s="1"/>
      <c r="O883" s="1"/>
      <c r="P883" s="1"/>
      <c r="Q883" s="1"/>
      <c r="R883" s="1"/>
      <c r="S883" s="1"/>
    </row>
    <row r="884" ht="12.7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11"/>
      <c r="N884" s="1"/>
      <c r="O884" s="1"/>
      <c r="P884" s="1"/>
      <c r="Q884" s="1"/>
      <c r="R884" s="1"/>
      <c r="S884" s="1"/>
    </row>
    <row r="885" ht="12.75" customHeight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11"/>
      <c r="N885" s="1"/>
      <c r="O885" s="1"/>
      <c r="P885" s="1"/>
      <c r="Q885" s="1"/>
      <c r="R885" s="1"/>
      <c r="S885" s="1"/>
    </row>
    <row r="886" ht="12.75" customHeight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11"/>
      <c r="N886" s="1"/>
      <c r="O886" s="1"/>
      <c r="P886" s="1"/>
      <c r="Q886" s="1"/>
      <c r="R886" s="1"/>
      <c r="S886" s="1"/>
    </row>
    <row r="887" ht="12.75" customHeight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11"/>
      <c r="N887" s="1"/>
      <c r="O887" s="1"/>
      <c r="P887" s="1"/>
      <c r="Q887" s="1"/>
      <c r="R887" s="1"/>
      <c r="S887" s="1"/>
    </row>
    <row r="888" ht="12.75" customHeight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11"/>
      <c r="N888" s="1"/>
      <c r="O888" s="1"/>
      <c r="P888" s="1"/>
      <c r="Q888" s="1"/>
      <c r="R888" s="1"/>
      <c r="S888" s="1"/>
    </row>
    <row r="889" ht="12.75" customHeight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11"/>
      <c r="N889" s="1"/>
      <c r="O889" s="1"/>
      <c r="P889" s="1"/>
      <c r="Q889" s="1"/>
      <c r="R889" s="1"/>
      <c r="S889" s="1"/>
    </row>
    <row r="890" ht="12.75" customHeight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11"/>
      <c r="N890" s="1"/>
      <c r="O890" s="1"/>
      <c r="P890" s="1"/>
      <c r="Q890" s="1"/>
      <c r="R890" s="1"/>
      <c r="S890" s="1"/>
    </row>
    <row r="891" ht="12.75" customHeight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11"/>
      <c r="N891" s="1"/>
      <c r="O891" s="1"/>
      <c r="P891" s="1"/>
      <c r="Q891" s="1"/>
      <c r="R891" s="1"/>
      <c r="S891" s="1"/>
    </row>
    <row r="892" ht="12.75" customHeight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11"/>
      <c r="N892" s="1"/>
      <c r="O892" s="1"/>
      <c r="P892" s="1"/>
      <c r="Q892" s="1"/>
      <c r="R892" s="1"/>
      <c r="S892" s="1"/>
    </row>
    <row r="893" ht="12.75" customHeight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11"/>
      <c r="N893" s="1"/>
      <c r="O893" s="1"/>
      <c r="P893" s="1"/>
      <c r="Q893" s="1"/>
      <c r="R893" s="1"/>
      <c r="S893" s="1"/>
    </row>
    <row r="894" ht="12.75" customHeight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11"/>
      <c r="N894" s="1"/>
      <c r="O894" s="1"/>
      <c r="P894" s="1"/>
      <c r="Q894" s="1"/>
      <c r="R894" s="1"/>
      <c r="S894" s="1"/>
    </row>
    <row r="895" ht="12.75" customHeight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11"/>
      <c r="N895" s="1"/>
      <c r="O895" s="1"/>
      <c r="P895" s="1"/>
      <c r="Q895" s="1"/>
      <c r="R895" s="1"/>
      <c r="S895" s="1"/>
    </row>
    <row r="896" ht="12.75" customHeight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11"/>
      <c r="N896" s="1"/>
      <c r="O896" s="1"/>
      <c r="P896" s="1"/>
      <c r="Q896" s="1"/>
      <c r="R896" s="1"/>
      <c r="S896" s="1"/>
    </row>
    <row r="897" ht="12.75" customHeight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11"/>
      <c r="N897" s="1"/>
      <c r="O897" s="1"/>
      <c r="P897" s="1"/>
      <c r="Q897" s="1"/>
      <c r="R897" s="1"/>
      <c r="S897" s="1"/>
    </row>
    <row r="898" ht="12.75" customHeight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11"/>
      <c r="N898" s="1"/>
      <c r="O898" s="1"/>
      <c r="P898" s="1"/>
      <c r="Q898" s="1"/>
      <c r="R898" s="1"/>
      <c r="S898" s="1"/>
    </row>
    <row r="899" ht="12.75" customHeight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11"/>
      <c r="N899" s="1"/>
      <c r="O899" s="1"/>
      <c r="P899" s="1"/>
      <c r="Q899" s="1"/>
      <c r="R899" s="1"/>
      <c r="S899" s="1"/>
    </row>
    <row r="900" ht="12.75" customHeight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11"/>
      <c r="N900" s="1"/>
      <c r="O900" s="1"/>
      <c r="P900" s="1"/>
      <c r="Q900" s="1"/>
      <c r="R900" s="1"/>
      <c r="S900" s="1"/>
    </row>
    <row r="901" ht="12.75" customHeight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11"/>
      <c r="N901" s="1"/>
      <c r="O901" s="1"/>
      <c r="P901" s="1"/>
      <c r="Q901" s="1"/>
      <c r="R901" s="1"/>
      <c r="S901" s="1"/>
    </row>
    <row r="902" ht="12.75" customHeight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11"/>
      <c r="N902" s="1"/>
      <c r="O902" s="1"/>
      <c r="P902" s="1"/>
      <c r="Q902" s="1"/>
      <c r="R902" s="1"/>
      <c r="S902" s="1"/>
    </row>
    <row r="903" ht="12.75" customHeight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11"/>
      <c r="N903" s="1"/>
      <c r="O903" s="1"/>
      <c r="P903" s="1"/>
      <c r="Q903" s="1"/>
      <c r="R903" s="1"/>
      <c r="S903" s="1"/>
    </row>
    <row r="904" ht="12.75" customHeight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11"/>
      <c r="N904" s="1"/>
      <c r="O904" s="1"/>
      <c r="P904" s="1"/>
      <c r="Q904" s="1"/>
      <c r="R904" s="1"/>
      <c r="S904" s="1"/>
    </row>
    <row r="905" ht="12.75" customHeight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11"/>
      <c r="N905" s="1"/>
      <c r="O905" s="1"/>
      <c r="P905" s="1"/>
      <c r="Q905" s="1"/>
      <c r="R905" s="1"/>
      <c r="S905" s="1"/>
    </row>
    <row r="906" ht="12.75" customHeight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11"/>
      <c r="N906" s="1"/>
      <c r="O906" s="1"/>
      <c r="P906" s="1"/>
      <c r="Q906" s="1"/>
      <c r="R906" s="1"/>
      <c r="S906" s="1"/>
    </row>
    <row r="907" ht="12.75" customHeight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11"/>
      <c r="N907" s="1"/>
      <c r="O907" s="1"/>
      <c r="P907" s="1"/>
      <c r="Q907" s="1"/>
      <c r="R907" s="1"/>
      <c r="S907" s="1"/>
    </row>
    <row r="908" ht="12.75" customHeight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11"/>
      <c r="N908" s="1"/>
      <c r="O908" s="1"/>
      <c r="P908" s="1"/>
      <c r="Q908" s="1"/>
      <c r="R908" s="1"/>
      <c r="S908" s="1"/>
    </row>
    <row r="909" ht="12.75" customHeight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11"/>
      <c r="N909" s="1"/>
      <c r="O909" s="1"/>
      <c r="P909" s="1"/>
      <c r="Q909" s="1"/>
      <c r="R909" s="1"/>
      <c r="S909" s="1"/>
    </row>
    <row r="910" ht="12.75" customHeight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11"/>
      <c r="N910" s="1"/>
      <c r="O910" s="1"/>
      <c r="P910" s="1"/>
      <c r="Q910" s="1"/>
      <c r="R910" s="1"/>
      <c r="S910" s="1"/>
    </row>
    <row r="911" ht="12.75" customHeight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11"/>
      <c r="N911" s="1"/>
      <c r="O911" s="1"/>
      <c r="P911" s="1"/>
      <c r="Q911" s="1"/>
      <c r="R911" s="1"/>
      <c r="S911" s="1"/>
    </row>
    <row r="912" ht="12.75" customHeight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11"/>
      <c r="N912" s="1"/>
      <c r="O912" s="1"/>
      <c r="P912" s="1"/>
      <c r="Q912" s="1"/>
      <c r="R912" s="1"/>
      <c r="S912" s="1"/>
    </row>
    <row r="913" ht="12.75" customHeight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11"/>
      <c r="N913" s="1"/>
      <c r="O913" s="1"/>
      <c r="P913" s="1"/>
      <c r="Q913" s="1"/>
      <c r="R913" s="1"/>
      <c r="S913" s="1"/>
    </row>
    <row r="914" ht="12.75" customHeight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11"/>
      <c r="N914" s="1"/>
      <c r="O914" s="1"/>
      <c r="P914" s="1"/>
      <c r="Q914" s="1"/>
      <c r="R914" s="1"/>
      <c r="S914" s="1"/>
    </row>
    <row r="915" ht="12.75" customHeight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11"/>
      <c r="N915" s="1"/>
      <c r="O915" s="1"/>
      <c r="P915" s="1"/>
      <c r="Q915" s="1"/>
      <c r="R915" s="1"/>
      <c r="S915" s="1"/>
    </row>
    <row r="916" ht="12.75" customHeight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11"/>
      <c r="N916" s="1"/>
      <c r="O916" s="1"/>
      <c r="P916" s="1"/>
      <c r="Q916" s="1"/>
      <c r="R916" s="1"/>
      <c r="S916" s="1"/>
    </row>
    <row r="917" ht="12.75" customHeight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11"/>
      <c r="N917" s="1"/>
      <c r="O917" s="1"/>
      <c r="P917" s="1"/>
      <c r="Q917" s="1"/>
      <c r="R917" s="1"/>
      <c r="S917" s="1"/>
    </row>
    <row r="918" ht="12.75" customHeight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11"/>
      <c r="N918" s="1"/>
      <c r="O918" s="1"/>
      <c r="P918" s="1"/>
      <c r="Q918" s="1"/>
      <c r="R918" s="1"/>
      <c r="S918" s="1"/>
    </row>
    <row r="919" ht="12.75" customHeight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11"/>
      <c r="N919" s="1"/>
      <c r="O919" s="1"/>
      <c r="P919" s="1"/>
      <c r="Q919" s="1"/>
      <c r="R919" s="1"/>
      <c r="S919" s="1"/>
    </row>
    <row r="920" ht="12.75" customHeight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11"/>
      <c r="N920" s="1"/>
      <c r="O920" s="1"/>
      <c r="P920" s="1"/>
      <c r="Q920" s="1"/>
      <c r="R920" s="1"/>
      <c r="S920" s="1"/>
    </row>
    <row r="921" ht="12.75" customHeight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11"/>
      <c r="N921" s="1"/>
      <c r="O921" s="1"/>
      <c r="P921" s="1"/>
      <c r="Q921" s="1"/>
      <c r="R921" s="1"/>
      <c r="S921" s="1"/>
    </row>
    <row r="922" ht="12.75" customHeight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11"/>
      <c r="N922" s="1"/>
      <c r="O922" s="1"/>
      <c r="P922" s="1"/>
      <c r="Q922" s="1"/>
      <c r="R922" s="1"/>
      <c r="S922" s="1"/>
    </row>
    <row r="923" ht="12.75" customHeight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11"/>
      <c r="N923" s="1"/>
      <c r="O923" s="1"/>
      <c r="P923" s="1"/>
      <c r="Q923" s="1"/>
      <c r="R923" s="1"/>
      <c r="S923" s="1"/>
    </row>
    <row r="924" ht="12.75" customHeight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11"/>
      <c r="N924" s="1"/>
      <c r="O924" s="1"/>
      <c r="P924" s="1"/>
      <c r="Q924" s="1"/>
      <c r="R924" s="1"/>
      <c r="S924" s="1"/>
    </row>
    <row r="925" ht="12.75" customHeight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11"/>
      <c r="N925" s="1"/>
      <c r="O925" s="1"/>
      <c r="P925" s="1"/>
      <c r="Q925" s="1"/>
      <c r="R925" s="1"/>
      <c r="S925" s="1"/>
    </row>
    <row r="926" ht="12.75" customHeight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11"/>
      <c r="N926" s="1"/>
      <c r="O926" s="1"/>
      <c r="P926" s="1"/>
      <c r="Q926" s="1"/>
      <c r="R926" s="1"/>
      <c r="S926" s="1"/>
    </row>
    <row r="927" ht="12.75" customHeight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11"/>
      <c r="N927" s="1"/>
      <c r="O927" s="1"/>
      <c r="P927" s="1"/>
      <c r="Q927" s="1"/>
      <c r="R927" s="1"/>
      <c r="S927" s="1"/>
    </row>
    <row r="928" ht="12.75" customHeight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11"/>
      <c r="N928" s="1"/>
      <c r="O928" s="1"/>
      <c r="P928" s="1"/>
      <c r="Q928" s="1"/>
      <c r="R928" s="1"/>
      <c r="S928" s="1"/>
    </row>
    <row r="929" ht="12.75" customHeight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11"/>
      <c r="N929" s="1"/>
      <c r="O929" s="1"/>
      <c r="P929" s="1"/>
      <c r="Q929" s="1"/>
      <c r="R929" s="1"/>
      <c r="S929" s="1"/>
    </row>
    <row r="930" ht="12.75" customHeight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11"/>
      <c r="N930" s="1"/>
      <c r="O930" s="1"/>
      <c r="P930" s="1"/>
      <c r="Q930" s="1"/>
      <c r="R930" s="1"/>
      <c r="S930" s="1"/>
    </row>
    <row r="931" ht="12.75" customHeight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11"/>
      <c r="N931" s="1"/>
      <c r="O931" s="1"/>
      <c r="P931" s="1"/>
      <c r="Q931" s="1"/>
      <c r="R931" s="1"/>
      <c r="S931" s="1"/>
    </row>
    <row r="932" ht="12.75" customHeight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11"/>
      <c r="N932" s="1"/>
      <c r="O932" s="1"/>
      <c r="P932" s="1"/>
      <c r="Q932" s="1"/>
      <c r="R932" s="1"/>
      <c r="S932" s="1"/>
    </row>
    <row r="933" ht="12.75" customHeight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11"/>
      <c r="N933" s="1"/>
      <c r="O933" s="1"/>
      <c r="P933" s="1"/>
      <c r="Q933" s="1"/>
      <c r="R933" s="1"/>
      <c r="S933" s="1"/>
    </row>
    <row r="934" ht="12.75" customHeight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11"/>
      <c r="N934" s="1"/>
      <c r="O934" s="1"/>
      <c r="P934" s="1"/>
      <c r="Q934" s="1"/>
      <c r="R934" s="1"/>
      <c r="S934" s="1"/>
    </row>
    <row r="935" ht="12.75" customHeight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11"/>
      <c r="N935" s="1"/>
      <c r="O935" s="1"/>
      <c r="P935" s="1"/>
      <c r="Q935" s="1"/>
      <c r="R935" s="1"/>
      <c r="S935" s="1"/>
    </row>
    <row r="936" ht="12.75" customHeight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11"/>
      <c r="N936" s="1"/>
      <c r="O936" s="1"/>
      <c r="P936" s="1"/>
      <c r="Q936" s="1"/>
      <c r="R936" s="1"/>
      <c r="S936" s="1"/>
    </row>
    <row r="937" ht="12.75" customHeight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11"/>
      <c r="N937" s="1"/>
      <c r="O937" s="1"/>
      <c r="P937" s="1"/>
      <c r="Q937" s="1"/>
      <c r="R937" s="1"/>
      <c r="S937" s="1"/>
    </row>
    <row r="938" ht="12.75" customHeight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11"/>
      <c r="N938" s="1"/>
      <c r="O938" s="1"/>
      <c r="P938" s="1"/>
      <c r="Q938" s="1"/>
      <c r="R938" s="1"/>
      <c r="S938" s="1"/>
    </row>
    <row r="939" ht="12.75" customHeight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11"/>
      <c r="N939" s="1"/>
      <c r="O939" s="1"/>
      <c r="P939" s="1"/>
      <c r="Q939" s="1"/>
      <c r="R939" s="1"/>
      <c r="S939" s="1"/>
    </row>
    <row r="940" ht="12.75" customHeight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11"/>
      <c r="N940" s="1"/>
      <c r="O940" s="1"/>
      <c r="P940" s="1"/>
      <c r="Q940" s="1"/>
      <c r="R940" s="1"/>
      <c r="S940" s="1"/>
    </row>
    <row r="941" ht="12.75" customHeight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11"/>
      <c r="N941" s="1"/>
      <c r="O941" s="1"/>
      <c r="P941" s="1"/>
      <c r="Q941" s="1"/>
      <c r="R941" s="1"/>
      <c r="S941" s="1"/>
    </row>
    <row r="942" ht="12.75" customHeight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11"/>
      <c r="N942" s="1"/>
      <c r="O942" s="1"/>
      <c r="P942" s="1"/>
      <c r="Q942" s="1"/>
      <c r="R942" s="1"/>
      <c r="S942" s="1"/>
    </row>
    <row r="943" ht="12.75" customHeight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11"/>
      <c r="N943" s="1"/>
      <c r="O943" s="1"/>
      <c r="P943" s="1"/>
      <c r="Q943" s="1"/>
      <c r="R943" s="1"/>
      <c r="S943" s="1"/>
    </row>
    <row r="944" ht="12.75" customHeight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11"/>
      <c r="N944" s="1"/>
      <c r="O944" s="1"/>
      <c r="P944" s="1"/>
      <c r="Q944" s="1"/>
      <c r="R944" s="1"/>
      <c r="S944" s="1"/>
    </row>
    <row r="945" ht="12.75" customHeight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11"/>
      <c r="N945" s="1"/>
      <c r="O945" s="1"/>
      <c r="P945" s="1"/>
      <c r="Q945" s="1"/>
      <c r="R945" s="1"/>
      <c r="S945" s="1"/>
    </row>
    <row r="946" ht="12.75" customHeight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11"/>
      <c r="N946" s="1"/>
      <c r="O946" s="1"/>
      <c r="P946" s="1"/>
      <c r="Q946" s="1"/>
      <c r="R946" s="1"/>
      <c r="S946" s="1"/>
    </row>
    <row r="947" ht="12.75" customHeight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11"/>
      <c r="N947" s="1"/>
      <c r="O947" s="1"/>
      <c r="P947" s="1"/>
      <c r="Q947" s="1"/>
      <c r="R947" s="1"/>
      <c r="S947" s="1"/>
    </row>
    <row r="948" ht="12.75" customHeight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11"/>
      <c r="N948" s="1"/>
      <c r="O948" s="1"/>
      <c r="P948" s="1"/>
      <c r="Q948" s="1"/>
      <c r="R948" s="1"/>
      <c r="S948" s="1"/>
    </row>
    <row r="949" ht="12.75" customHeight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11"/>
      <c r="N949" s="1"/>
      <c r="O949" s="1"/>
      <c r="P949" s="1"/>
      <c r="Q949" s="1"/>
      <c r="R949" s="1"/>
      <c r="S949" s="1"/>
    </row>
    <row r="950" ht="12.75" customHeight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11"/>
      <c r="N950" s="1"/>
      <c r="O950" s="1"/>
      <c r="P950" s="1"/>
      <c r="Q950" s="1"/>
      <c r="R950" s="1"/>
      <c r="S950" s="1"/>
    </row>
    <row r="951" ht="12.75" customHeight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11"/>
      <c r="N951" s="1"/>
      <c r="O951" s="1"/>
      <c r="P951" s="1"/>
      <c r="Q951" s="1"/>
      <c r="R951" s="1"/>
      <c r="S951" s="1"/>
    </row>
    <row r="952" ht="12.75" customHeight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11"/>
      <c r="N952" s="1"/>
      <c r="O952" s="1"/>
      <c r="P952" s="1"/>
      <c r="Q952" s="1"/>
      <c r="R952" s="1"/>
      <c r="S952" s="1"/>
    </row>
    <row r="953" ht="12.75" customHeight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11"/>
      <c r="N953" s="1"/>
      <c r="O953" s="1"/>
      <c r="P953" s="1"/>
      <c r="Q953" s="1"/>
      <c r="R953" s="1"/>
      <c r="S953" s="1"/>
    </row>
    <row r="954" ht="12.75" customHeight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11"/>
      <c r="N954" s="1"/>
      <c r="O954" s="1"/>
      <c r="P954" s="1"/>
      <c r="Q954" s="1"/>
      <c r="R954" s="1"/>
      <c r="S954" s="1"/>
    </row>
    <row r="955" ht="12.75" customHeight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11"/>
      <c r="N955" s="1"/>
      <c r="O955" s="1"/>
      <c r="P955" s="1"/>
      <c r="Q955" s="1"/>
      <c r="R955" s="1"/>
      <c r="S955" s="1"/>
    </row>
    <row r="956" ht="12.75" customHeight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11"/>
      <c r="N956" s="1"/>
      <c r="O956" s="1"/>
      <c r="P956" s="1"/>
      <c r="Q956" s="1"/>
      <c r="R956" s="1"/>
      <c r="S956" s="1"/>
    </row>
    <row r="957" ht="12.75" customHeight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11"/>
      <c r="N957" s="1"/>
      <c r="O957" s="1"/>
      <c r="P957" s="1"/>
      <c r="Q957" s="1"/>
      <c r="R957" s="1"/>
      <c r="S957" s="1"/>
    </row>
    <row r="958" ht="12.75" customHeight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11"/>
      <c r="N958" s="1"/>
      <c r="O958" s="1"/>
      <c r="P958" s="1"/>
      <c r="Q958" s="1"/>
      <c r="R958" s="1"/>
      <c r="S958" s="1"/>
    </row>
    <row r="959" ht="12.75" customHeight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11"/>
      <c r="N959" s="1"/>
      <c r="O959" s="1"/>
      <c r="P959" s="1"/>
      <c r="Q959" s="1"/>
      <c r="R959" s="1"/>
      <c r="S959" s="1"/>
    </row>
    <row r="960" ht="12.75" customHeight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11"/>
      <c r="N960" s="1"/>
      <c r="O960" s="1"/>
      <c r="P960" s="1"/>
      <c r="Q960" s="1"/>
      <c r="R960" s="1"/>
      <c r="S960" s="1"/>
    </row>
    <row r="961" ht="12.75" customHeight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11"/>
      <c r="N961" s="1"/>
      <c r="O961" s="1"/>
      <c r="P961" s="1"/>
      <c r="Q961" s="1"/>
      <c r="R961" s="1"/>
      <c r="S961" s="1"/>
    </row>
    <row r="962" ht="12.75" customHeight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11"/>
      <c r="N962" s="1"/>
      <c r="O962" s="1"/>
      <c r="P962" s="1"/>
      <c r="Q962" s="1"/>
      <c r="R962" s="1"/>
      <c r="S962" s="1"/>
    </row>
    <row r="963" ht="12.75" customHeight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11"/>
      <c r="N963" s="1"/>
      <c r="O963" s="1"/>
      <c r="P963" s="1"/>
      <c r="Q963" s="1"/>
      <c r="R963" s="1"/>
      <c r="S963" s="1"/>
    </row>
    <row r="964" ht="12.75" customHeight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11"/>
      <c r="N964" s="1"/>
      <c r="O964" s="1"/>
      <c r="P964" s="1"/>
      <c r="Q964" s="1"/>
      <c r="R964" s="1"/>
      <c r="S964" s="1"/>
    </row>
    <row r="965" ht="12.75" customHeight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11"/>
      <c r="N965" s="1"/>
      <c r="O965" s="1"/>
      <c r="P965" s="1"/>
      <c r="Q965" s="1"/>
      <c r="R965" s="1"/>
      <c r="S965" s="1"/>
    </row>
    <row r="966" ht="12.75" customHeight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11"/>
      <c r="N966" s="1"/>
      <c r="O966" s="1"/>
      <c r="P966" s="1"/>
      <c r="Q966" s="1"/>
      <c r="R966" s="1"/>
      <c r="S966" s="1"/>
    </row>
    <row r="967" ht="12.75" customHeight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11"/>
      <c r="N967" s="1"/>
      <c r="O967" s="1"/>
      <c r="P967" s="1"/>
      <c r="Q967" s="1"/>
      <c r="R967" s="1"/>
      <c r="S967" s="1"/>
    </row>
    <row r="968" ht="12.75" customHeight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11"/>
      <c r="N968" s="1"/>
      <c r="O968" s="1"/>
      <c r="P968" s="1"/>
      <c r="Q968" s="1"/>
      <c r="R968" s="1"/>
      <c r="S968" s="1"/>
    </row>
    <row r="969" ht="12.75" customHeight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11"/>
      <c r="N969" s="1"/>
      <c r="O969" s="1"/>
      <c r="P969" s="1"/>
      <c r="Q969" s="1"/>
      <c r="R969" s="1"/>
      <c r="S969" s="1"/>
    </row>
    <row r="970" ht="12.75" customHeight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11"/>
      <c r="N970" s="1"/>
      <c r="O970" s="1"/>
      <c r="P970" s="1"/>
      <c r="Q970" s="1"/>
      <c r="R970" s="1"/>
      <c r="S970" s="1"/>
    </row>
    <row r="971" ht="12.75" customHeight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11"/>
      <c r="N971" s="1"/>
      <c r="O971" s="1"/>
      <c r="P971" s="1"/>
      <c r="Q971" s="1"/>
      <c r="R971" s="1"/>
      <c r="S971" s="1"/>
    </row>
    <row r="972" ht="12.75" customHeight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11"/>
      <c r="N972" s="1"/>
      <c r="O972" s="1"/>
      <c r="P972" s="1"/>
      <c r="Q972" s="1"/>
      <c r="R972" s="1"/>
      <c r="S972" s="1"/>
    </row>
    <row r="973" ht="12.75" customHeight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11"/>
      <c r="N973" s="1"/>
      <c r="O973" s="1"/>
      <c r="P973" s="1"/>
      <c r="Q973" s="1"/>
      <c r="R973" s="1"/>
      <c r="S973" s="1"/>
    </row>
    <row r="974" ht="12.75" customHeight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11"/>
      <c r="N974" s="1"/>
      <c r="O974" s="1"/>
      <c r="P974" s="1"/>
      <c r="Q974" s="1"/>
      <c r="R974" s="1"/>
      <c r="S974" s="1"/>
    </row>
    <row r="975" ht="12.75" customHeight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11"/>
      <c r="N975" s="1"/>
      <c r="O975" s="1"/>
      <c r="P975" s="1"/>
      <c r="Q975" s="1"/>
      <c r="R975" s="1"/>
      <c r="S975" s="1"/>
    </row>
    <row r="976" ht="12.75" customHeight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11"/>
      <c r="N976" s="1"/>
      <c r="O976" s="1"/>
      <c r="P976" s="1"/>
      <c r="Q976" s="1"/>
      <c r="R976" s="1"/>
      <c r="S976" s="1"/>
    </row>
    <row r="977" ht="12.75" customHeight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11"/>
      <c r="N977" s="1"/>
      <c r="O977" s="1"/>
      <c r="P977" s="1"/>
      <c r="Q977" s="1"/>
      <c r="R977" s="1"/>
      <c r="S977" s="1"/>
    </row>
    <row r="978" ht="12.75" customHeight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11"/>
      <c r="N978" s="1"/>
      <c r="O978" s="1"/>
      <c r="P978" s="1"/>
      <c r="Q978" s="1"/>
      <c r="R978" s="1"/>
      <c r="S978" s="1"/>
    </row>
    <row r="979" ht="12.75" customHeight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11"/>
      <c r="N979" s="1"/>
      <c r="O979" s="1"/>
      <c r="P979" s="1"/>
      <c r="Q979" s="1"/>
      <c r="R979" s="1"/>
      <c r="S979" s="1"/>
    </row>
    <row r="980" ht="12.75" customHeight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11"/>
      <c r="N980" s="1"/>
      <c r="O980" s="1"/>
      <c r="P980" s="1"/>
      <c r="Q980" s="1"/>
      <c r="R980" s="1"/>
      <c r="S980" s="1"/>
    </row>
    <row r="981" ht="12.75" customHeight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11"/>
      <c r="N981" s="1"/>
      <c r="O981" s="1"/>
      <c r="P981" s="1"/>
      <c r="Q981" s="1"/>
      <c r="R981" s="1"/>
      <c r="S981" s="1"/>
    </row>
    <row r="982" ht="12.75" customHeight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11"/>
      <c r="N982" s="1"/>
      <c r="O982" s="1"/>
      <c r="P982" s="1"/>
      <c r="Q982" s="1"/>
      <c r="R982" s="1"/>
      <c r="S982" s="1"/>
    </row>
    <row r="983" ht="12.75" customHeight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11"/>
      <c r="N983" s="1"/>
      <c r="O983" s="1"/>
      <c r="P983" s="1"/>
      <c r="Q983" s="1"/>
      <c r="R983" s="1"/>
      <c r="S983" s="1"/>
    </row>
    <row r="984" ht="12.75" customHeight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11"/>
      <c r="N984" s="1"/>
      <c r="O984" s="1"/>
      <c r="P984" s="1"/>
      <c r="Q984" s="1"/>
      <c r="R984" s="1"/>
      <c r="S984" s="1"/>
    </row>
    <row r="985" ht="12.75" customHeight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11"/>
      <c r="N985" s="1"/>
      <c r="O985" s="1"/>
      <c r="P985" s="1"/>
      <c r="Q985" s="1"/>
      <c r="R985" s="1"/>
      <c r="S985" s="1"/>
    </row>
    <row r="986" ht="12.75" customHeight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11"/>
      <c r="N986" s="1"/>
      <c r="O986" s="1"/>
      <c r="P986" s="1"/>
      <c r="Q986" s="1"/>
      <c r="R986" s="1"/>
      <c r="S986" s="1"/>
    </row>
    <row r="987" ht="12.75" customHeight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11"/>
      <c r="N987" s="1"/>
      <c r="O987" s="1"/>
      <c r="P987" s="1"/>
      <c r="Q987" s="1"/>
      <c r="R987" s="1"/>
      <c r="S987" s="1"/>
    </row>
    <row r="988" ht="12.75" customHeight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11"/>
      <c r="N988" s="1"/>
      <c r="O988" s="1"/>
      <c r="P988" s="1"/>
      <c r="Q988" s="1"/>
      <c r="R988" s="1"/>
      <c r="S988" s="1"/>
    </row>
    <row r="989" ht="12.75" customHeight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11"/>
      <c r="N989" s="1"/>
      <c r="O989" s="1"/>
      <c r="P989" s="1"/>
      <c r="Q989" s="1"/>
      <c r="R989" s="1"/>
      <c r="S989" s="1"/>
    </row>
    <row r="990" ht="12.75" customHeight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11"/>
      <c r="N990" s="1"/>
      <c r="O990" s="1"/>
      <c r="P990" s="1"/>
      <c r="Q990" s="1"/>
      <c r="R990" s="1"/>
      <c r="S990" s="1"/>
    </row>
    <row r="991" ht="12.75" customHeight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11"/>
      <c r="N991" s="1"/>
      <c r="O991" s="1"/>
      <c r="P991" s="1"/>
      <c r="Q991" s="1"/>
      <c r="R991" s="1"/>
      <c r="S991" s="1"/>
    </row>
    <row r="992" ht="12.75" customHeight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11"/>
      <c r="N992" s="1"/>
      <c r="O992" s="1"/>
      <c r="P992" s="1"/>
      <c r="Q992" s="1"/>
      <c r="R992" s="1"/>
      <c r="S992" s="1"/>
    </row>
    <row r="993" ht="12.75" customHeight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11"/>
      <c r="N993" s="1"/>
      <c r="O993" s="1"/>
      <c r="P993" s="1"/>
      <c r="Q993" s="1"/>
      <c r="R993" s="1"/>
      <c r="S993" s="1"/>
    </row>
    <row r="994" ht="12.75" customHeight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11"/>
      <c r="N994" s="1"/>
      <c r="O994" s="1"/>
      <c r="P994" s="1"/>
      <c r="Q994" s="1"/>
      <c r="R994" s="1"/>
      <c r="S994" s="1"/>
    </row>
    <row r="995" ht="12.75" customHeight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11"/>
      <c r="N995" s="1"/>
      <c r="O995" s="1"/>
      <c r="P995" s="1"/>
      <c r="Q995" s="1"/>
      <c r="R995" s="1"/>
      <c r="S995" s="1"/>
    </row>
    <row r="996" ht="12.75" customHeight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11"/>
      <c r="N996" s="1"/>
      <c r="O996" s="1"/>
      <c r="P996" s="1"/>
      <c r="Q996" s="1"/>
      <c r="R996" s="1"/>
      <c r="S996" s="1"/>
    </row>
    <row r="997" ht="12.75" customHeight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11"/>
      <c r="N997" s="1"/>
      <c r="O997" s="1"/>
      <c r="P997" s="1"/>
      <c r="Q997" s="1"/>
      <c r="R997" s="1"/>
      <c r="S997" s="1"/>
    </row>
    <row r="998" ht="12.75" customHeight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11"/>
      <c r="N998" s="1"/>
      <c r="O998" s="1"/>
      <c r="P998" s="1"/>
      <c r="Q998" s="1"/>
      <c r="R998" s="1"/>
      <c r="S998" s="1"/>
    </row>
    <row r="999" ht="12.75" customHeight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11"/>
      <c r="N999" s="1"/>
      <c r="O999" s="1"/>
      <c r="P999" s="1"/>
      <c r="Q999" s="1"/>
      <c r="R999" s="1"/>
      <c r="S999" s="1"/>
    </row>
    <row r="1000" ht="12.75" customHeight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11"/>
      <c r="N1000" s="1"/>
      <c r="O1000" s="1"/>
      <c r="P1000" s="1"/>
      <c r="Q1000" s="1"/>
      <c r="R1000" s="1"/>
      <c r="S1000" s="1"/>
    </row>
  </sheetData>
  <mergeCells count="1">
    <mergeCell ref="B3:I3"/>
  </mergeCells>
  <conditionalFormatting sqref="C5:C25">
    <cfRule type="cellIs" dxfId="4" priority="1" operator="equal">
      <formula>SMALL($C$5:$C$24,1)</formula>
    </cfRule>
  </conditionalFormatting>
  <conditionalFormatting sqref="C5:C25">
    <cfRule type="cellIs" dxfId="5" priority="2" operator="equal">
      <formula>LARGE($C$5:$C$24,1)</formula>
    </cfRule>
  </conditionalFormatting>
  <conditionalFormatting sqref="B5:B25">
    <cfRule type="cellIs" dxfId="4" priority="3" operator="equal">
      <formula>SMALL($B$5:$B$24,1)</formula>
    </cfRule>
  </conditionalFormatting>
  <conditionalFormatting sqref="B5:B25">
    <cfRule type="cellIs" dxfId="5" priority="4" operator="equal">
      <formula>LARGE($B$5:$B$24,1)</formula>
    </cfRule>
  </conditionalFormatting>
  <conditionalFormatting sqref="D5:D25">
    <cfRule type="cellIs" dxfId="4" priority="5" operator="equal">
      <formula>SMALL($D$5:$D$24,1)</formula>
    </cfRule>
  </conditionalFormatting>
  <conditionalFormatting sqref="D5:D25">
    <cfRule type="cellIs" dxfId="5" priority="6" operator="equal">
      <formula>LARGE($D$5:$D$24,1)</formula>
    </cfRule>
  </conditionalFormatting>
  <conditionalFormatting sqref="E5:E25">
    <cfRule type="cellIs" dxfId="4" priority="7" operator="equal">
      <formula>SMALL($E$5:$E$24,1)</formula>
    </cfRule>
  </conditionalFormatting>
  <conditionalFormatting sqref="E5:E25">
    <cfRule type="cellIs" dxfId="5" priority="8" operator="equal">
      <formula>LARGE($E$5:$E$24,1)</formula>
    </cfRule>
  </conditionalFormatting>
  <conditionalFormatting sqref="F5:F25">
    <cfRule type="cellIs" dxfId="5" priority="9" operator="equal">
      <formula>LARGE($F$5:$F$24,1)</formula>
    </cfRule>
  </conditionalFormatting>
  <conditionalFormatting sqref="F5:F25">
    <cfRule type="cellIs" dxfId="4" priority="10" operator="equal">
      <formula>SMALL($F$5:$F$24,1)</formula>
    </cfRule>
  </conditionalFormatting>
  <conditionalFormatting sqref="G5:G25">
    <cfRule type="cellIs" dxfId="4" priority="11" operator="equal">
      <formula>SMALL($G$5:$G$24,1)</formula>
    </cfRule>
  </conditionalFormatting>
  <conditionalFormatting sqref="G5:G25">
    <cfRule type="cellIs" dxfId="5" priority="12" operator="equal">
      <formula>LARGE($G$5:$G$24,1)</formula>
    </cfRule>
  </conditionalFormatting>
  <conditionalFormatting sqref="H5:H25">
    <cfRule type="cellIs" dxfId="5" priority="13" operator="equal">
      <formula>LARGE($H$5:$H$24,1)</formula>
    </cfRule>
  </conditionalFormatting>
  <conditionalFormatting sqref="H5:H25">
    <cfRule type="cellIs" dxfId="4" priority="14" operator="equal">
      <formula>SMALL($H$5:$H$24,1)</formula>
    </cfRule>
  </conditionalFormatting>
  <conditionalFormatting sqref="I5:I25">
    <cfRule type="cellIs" dxfId="5" priority="15" operator="equal">
      <formula>LARGE($I$5:$I$24,1)</formula>
    </cfRule>
  </conditionalFormatting>
  <conditionalFormatting sqref="I5:I25">
    <cfRule type="cellIs" dxfId="4" priority="16" operator="equal">
      <formula>SMALL($I$5:$I$24,1)</formula>
    </cfRule>
  </conditionalFormatting>
  <conditionalFormatting sqref="J5:J25">
    <cfRule type="cellIs" dxfId="5" priority="17" operator="equal">
      <formula>LARGE($J$5:$J$24,1)</formula>
    </cfRule>
  </conditionalFormatting>
  <conditionalFormatting sqref="J5:J25">
    <cfRule type="cellIs" dxfId="4" priority="18" operator="equal">
      <formula>SMALL($J$5:$J$24,1)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4" width="32.0"/>
    <col customWidth="1" min="5" max="5" width="23.0"/>
    <col customWidth="1" min="6" max="6" width="32.63"/>
    <col customWidth="1" min="7" max="7" width="18.88"/>
    <col customWidth="1" min="8" max="8" width="27.63"/>
    <col customWidth="1" min="9" max="9" width="21.25"/>
    <col customWidth="1" min="10" max="10" width="19.75"/>
    <col customWidth="1" min="11" max="11" width="24.25"/>
    <col customWidth="1" min="12" max="12" width="27.38"/>
    <col customWidth="1" min="13" max="13" width="26.63"/>
    <col customWidth="1" min="14" max="14" width="26.88"/>
    <col customWidth="1" min="15" max="15" width="20.38"/>
    <col customWidth="1" min="16" max="16" width="21.75"/>
    <col customWidth="1" min="17" max="17" width="28.88"/>
    <col customWidth="1" min="18" max="18" width="23.5"/>
    <col customWidth="1" min="19" max="19" width="29.0"/>
    <col customWidth="1" min="20" max="20" width="18.88"/>
    <col customWidth="1" min="21" max="22" width="21.88"/>
    <col customWidth="1" min="23" max="23" width="19.88"/>
    <col customWidth="1" min="24" max="24" width="26.25"/>
    <col customWidth="1" min="25" max="25" width="18.88"/>
    <col customWidth="1" min="26" max="26" width="33.63"/>
    <col customWidth="1" min="27" max="27" width="23.13"/>
    <col customWidth="1" min="28" max="28" width="27.13"/>
    <col customWidth="1" min="29" max="29" width="22.25"/>
    <col customWidth="1" min="30" max="30" width="25.13"/>
    <col customWidth="1" min="31" max="31" width="28.63"/>
    <col customWidth="1" min="32" max="32" width="22.25"/>
    <col customWidth="1" min="33" max="33" width="21.0"/>
    <col customWidth="1" min="34" max="34" width="30.63"/>
    <col customWidth="1" min="35" max="35" width="20.0"/>
    <col customWidth="1" min="36" max="36" width="18.88"/>
    <col customWidth="1" min="37" max="37" width="24.75"/>
    <col customWidth="1" min="38" max="38" width="31.5"/>
    <col customWidth="1" min="39" max="39" width="28.63"/>
    <col customWidth="1" min="40" max="40" width="22.75"/>
    <col customWidth="1" min="41" max="41" width="18.88"/>
    <col customWidth="1" min="42" max="42" width="25.75"/>
    <col customWidth="1" min="43" max="43" width="34.0"/>
    <col customWidth="1" min="44" max="44" width="25.13"/>
    <col customWidth="1" min="45" max="45" width="22.63"/>
    <col customWidth="1" min="46" max="46" width="30.13"/>
    <col customWidth="1" min="47" max="47" width="31.25"/>
    <col customWidth="1" min="48" max="48" width="20.13"/>
    <col customWidth="1" min="49" max="49" width="23.88"/>
    <col customWidth="1" min="50" max="50" width="23.63"/>
    <col customWidth="1" min="51" max="51" width="18.88"/>
    <col customWidth="1" min="52" max="52" width="22.0"/>
    <col customWidth="1" min="53" max="53" width="27.13"/>
    <col customWidth="1" min="54" max="54" width="30.13"/>
    <col customWidth="1" min="55" max="55" width="20.75"/>
    <col customWidth="1" min="56" max="56" width="22.25"/>
    <col customWidth="1" min="57" max="57" width="29.63"/>
    <col customWidth="1" min="58" max="58" width="25.13"/>
    <col customWidth="1" min="59" max="59" width="21.5"/>
    <col customWidth="1" min="60" max="60" width="35.13"/>
    <col customWidth="1" min="61" max="61" width="22.25"/>
    <col customWidth="1" min="62" max="62" width="34.25"/>
    <col customWidth="1" min="63" max="63" width="19.75"/>
    <col customWidth="1" min="64" max="64" width="24.0"/>
    <col customWidth="1" min="65" max="65" width="26.5"/>
    <col customWidth="1" min="66" max="66" width="21.25"/>
    <col customWidth="1" min="67" max="67" width="19.0"/>
    <col customWidth="1" min="68" max="68" width="18.88"/>
    <col customWidth="1" min="69" max="69" width="32.75"/>
    <col customWidth="1" min="70" max="70" width="21.5"/>
    <col customWidth="1" min="71" max="71" width="25.25"/>
    <col customWidth="1" min="72" max="72" width="23.13"/>
    <col customWidth="1" min="73" max="73" width="18.88"/>
    <col customWidth="1" min="74" max="74" width="30.13"/>
    <col customWidth="1" min="75" max="75" width="25.13"/>
    <col customWidth="1" min="76" max="76" width="18.88"/>
    <col customWidth="1" min="77" max="77" width="29.63"/>
    <col customWidth="1" min="78" max="78" width="31.5"/>
    <col customWidth="1" min="79" max="79" width="20.13"/>
    <col customWidth="1" min="80" max="80" width="27.38"/>
    <col customWidth="1" min="81" max="81" width="18.88"/>
    <col customWidth="1" min="82" max="82" width="26.38"/>
    <col customWidth="1" min="83" max="83" width="22.0"/>
    <col customWidth="1" min="84" max="84" width="31.63"/>
    <col customWidth="1" min="85" max="85" width="20.38"/>
    <col customWidth="1" min="86" max="86" width="18.88"/>
    <col customWidth="1" min="87" max="87" width="29.13"/>
    <col customWidth="1" min="88" max="88" width="24.63"/>
    <col customWidth="1" min="89" max="89" width="26.38"/>
    <col customWidth="1" min="90" max="90" width="30.5"/>
    <col customWidth="1" min="91" max="91" width="26.5"/>
    <col customWidth="1" min="92" max="92" width="22.0"/>
    <col customWidth="1" min="93" max="93" width="24.13"/>
    <col customWidth="1" min="94" max="94" width="19.75"/>
    <col customWidth="1" min="95" max="95" width="27.0"/>
    <col customWidth="1" min="96" max="96" width="23.88"/>
    <col customWidth="1" min="97" max="97" width="27.75"/>
    <col customWidth="1" min="98" max="98" width="18.88"/>
    <col customWidth="1" min="99" max="99" width="23.75"/>
    <col customWidth="1" min="100" max="100" width="31.13"/>
    <col customWidth="1" min="101" max="101" width="21.5"/>
    <col customWidth="1" min="102" max="102" width="37.63"/>
    <col customWidth="1" min="103" max="103" width="22.5"/>
    <col customWidth="1" min="104" max="104" width="18.88"/>
    <col customWidth="1" min="105" max="105" width="29.38"/>
    <col customWidth="1" min="106" max="106" width="27.38"/>
    <col customWidth="1" min="107" max="108" width="18.88"/>
    <col customWidth="1" min="109" max="109" width="21.38"/>
    <col customWidth="1" min="110" max="110" width="31.75"/>
    <col customWidth="1" min="111" max="111" width="27.38"/>
    <col customWidth="1" min="112" max="112" width="20.13"/>
    <col customWidth="1" min="113" max="113" width="27.13"/>
    <col customWidth="1" min="114" max="114" width="21.63"/>
    <col customWidth="1" min="115" max="115" width="22.75"/>
    <col customWidth="1" min="116" max="116" width="18.88"/>
    <col customWidth="1" min="117" max="117" width="28.88"/>
    <col customWidth="1" min="118" max="118" width="27.5"/>
    <col customWidth="1" min="119" max="119" width="28.25"/>
    <col customWidth="1" min="120" max="120" width="20.88"/>
    <col customWidth="1" min="121" max="121" width="28.75"/>
    <col customWidth="1" min="122" max="122" width="26.63"/>
    <col customWidth="1" min="123" max="123" width="18.88"/>
    <col customWidth="1" min="124" max="124" width="23.5"/>
    <col customWidth="1" min="125" max="125" width="19.13"/>
    <col customWidth="1" min="126" max="126" width="23.25"/>
    <col customWidth="1" min="127" max="127" width="30.63"/>
    <col customWidth="1" min="128" max="128" width="25.5"/>
    <col customWidth="1" min="129" max="129" width="34.88"/>
    <col customWidth="1" min="130" max="130" width="20.25"/>
    <col customWidth="1" min="131" max="131" width="29.0"/>
    <col customWidth="1" min="132" max="132" width="27.38"/>
    <col customWidth="1" min="133" max="133" width="19.75"/>
    <col customWidth="1" min="134" max="134" width="31.25"/>
    <col customWidth="1" min="135" max="135" width="23.38"/>
    <col customWidth="1" min="136" max="136" width="18.88"/>
    <col customWidth="1" min="137" max="137" width="26.0"/>
    <col customWidth="1" min="138" max="138" width="28.5"/>
    <col customWidth="1" min="139" max="139" width="21.13"/>
    <col customWidth="1" min="140" max="140" width="28.25"/>
    <col customWidth="1" min="141" max="141" width="32.88"/>
    <col customWidth="1" min="142" max="142" width="31.75"/>
    <col customWidth="1" min="143" max="143" width="19.5"/>
    <col customWidth="1" min="144" max="144" width="27.13"/>
    <col customWidth="1" min="145" max="145" width="23.63"/>
    <col customWidth="1" min="146" max="164" width="18.88"/>
  </cols>
  <sheetData>
    <row r="1" ht="22.5" customHeight="1">
      <c r="A1" s="117" t="s">
        <v>179</v>
      </c>
      <c r="B1" s="117" t="s">
        <v>180</v>
      </c>
      <c r="C1" s="117" t="s">
        <v>181</v>
      </c>
      <c r="D1" s="117" t="s">
        <v>182</v>
      </c>
      <c r="E1" s="117" t="s">
        <v>183</v>
      </c>
      <c r="F1" s="117" t="s">
        <v>184</v>
      </c>
      <c r="G1" s="117" t="s">
        <v>185</v>
      </c>
      <c r="H1" s="117" t="s">
        <v>186</v>
      </c>
      <c r="I1" s="117" t="s">
        <v>187</v>
      </c>
      <c r="J1" s="117" t="s">
        <v>188</v>
      </c>
      <c r="K1" s="117" t="s">
        <v>189</v>
      </c>
      <c r="L1" s="117" t="s">
        <v>190</v>
      </c>
      <c r="M1" s="117" t="s">
        <v>149</v>
      </c>
      <c r="N1" s="117" t="s">
        <v>191</v>
      </c>
      <c r="O1" s="117" t="s">
        <v>192</v>
      </c>
      <c r="P1" s="117" t="s">
        <v>193</v>
      </c>
      <c r="Q1" s="117" t="s">
        <v>194</v>
      </c>
      <c r="R1" s="117" t="s">
        <v>195</v>
      </c>
      <c r="S1" s="117" t="s">
        <v>196</v>
      </c>
      <c r="T1" s="117" t="s">
        <v>197</v>
      </c>
      <c r="U1" s="117" t="s">
        <v>114</v>
      </c>
      <c r="V1" s="117" t="s">
        <v>198</v>
      </c>
      <c r="W1" s="117" t="s">
        <v>199</v>
      </c>
      <c r="X1" s="117" t="s">
        <v>200</v>
      </c>
      <c r="Y1" s="117" t="s">
        <v>201</v>
      </c>
      <c r="Z1" s="117" t="s">
        <v>202</v>
      </c>
      <c r="AA1" s="117" t="s">
        <v>203</v>
      </c>
      <c r="AB1" s="117" t="s">
        <v>204</v>
      </c>
      <c r="AC1" s="117" t="s">
        <v>111</v>
      </c>
      <c r="AD1" s="117" t="s">
        <v>205</v>
      </c>
      <c r="AE1" s="117" t="s">
        <v>206</v>
      </c>
      <c r="AF1" s="117" t="s">
        <v>207</v>
      </c>
      <c r="AG1" s="117" t="s">
        <v>208</v>
      </c>
      <c r="AH1" s="117" t="s">
        <v>209</v>
      </c>
      <c r="AI1" s="117" t="s">
        <v>210</v>
      </c>
      <c r="AJ1" s="117" t="s">
        <v>211</v>
      </c>
      <c r="AK1" s="117" t="s">
        <v>212</v>
      </c>
      <c r="AL1" s="117" t="s">
        <v>213</v>
      </c>
      <c r="AM1" s="117" t="s">
        <v>150</v>
      </c>
      <c r="AN1" s="117" t="s">
        <v>214</v>
      </c>
      <c r="AO1" s="117" t="s">
        <v>215</v>
      </c>
      <c r="AP1" s="117" t="s">
        <v>216</v>
      </c>
      <c r="AQ1" s="117" t="s">
        <v>217</v>
      </c>
      <c r="AR1" s="117" t="s">
        <v>218</v>
      </c>
      <c r="AS1" s="117" t="s">
        <v>219</v>
      </c>
      <c r="AT1" s="117" t="s">
        <v>220</v>
      </c>
      <c r="AU1" s="117" t="s">
        <v>221</v>
      </c>
      <c r="AV1" s="117" t="s">
        <v>222</v>
      </c>
      <c r="AW1" s="117" t="s">
        <v>223</v>
      </c>
      <c r="AX1" s="117" t="s">
        <v>224</v>
      </c>
      <c r="AY1" s="117" t="s">
        <v>225</v>
      </c>
      <c r="AZ1" s="117" t="s">
        <v>226</v>
      </c>
      <c r="BA1" s="117" t="s">
        <v>227</v>
      </c>
      <c r="BB1" s="117" t="s">
        <v>228</v>
      </c>
      <c r="BC1" s="117" t="s">
        <v>229</v>
      </c>
      <c r="BD1" s="117" t="s">
        <v>230</v>
      </c>
      <c r="BE1" s="117" t="s">
        <v>231</v>
      </c>
      <c r="BF1" s="117" t="s">
        <v>232</v>
      </c>
      <c r="BG1" s="117" t="s">
        <v>233</v>
      </c>
      <c r="BH1" s="117" t="s">
        <v>151</v>
      </c>
      <c r="BI1" s="117" t="s">
        <v>152</v>
      </c>
      <c r="BJ1" s="117" t="s">
        <v>234</v>
      </c>
      <c r="BK1" s="117" t="s">
        <v>235</v>
      </c>
      <c r="BL1" s="117" t="s">
        <v>236</v>
      </c>
      <c r="BM1" s="117" t="s">
        <v>237</v>
      </c>
      <c r="BN1" s="117" t="s">
        <v>238</v>
      </c>
      <c r="BO1" s="117" t="s">
        <v>239</v>
      </c>
      <c r="BP1" s="117" t="s">
        <v>240</v>
      </c>
      <c r="BQ1" s="117" t="s">
        <v>241</v>
      </c>
      <c r="BR1" s="117" t="s">
        <v>242</v>
      </c>
      <c r="BS1" s="117" t="s">
        <v>243</v>
      </c>
      <c r="BT1" s="117" t="s">
        <v>244</v>
      </c>
      <c r="BU1" s="117" t="s">
        <v>245</v>
      </c>
      <c r="BV1" s="117" t="s">
        <v>246</v>
      </c>
      <c r="BW1" s="117" t="s">
        <v>247</v>
      </c>
      <c r="BX1" s="117" t="s">
        <v>248</v>
      </c>
      <c r="BY1" s="117" t="s">
        <v>249</v>
      </c>
      <c r="BZ1" s="117" t="s">
        <v>250</v>
      </c>
      <c r="CA1" s="117" t="s">
        <v>157</v>
      </c>
      <c r="CB1" s="117" t="s">
        <v>251</v>
      </c>
      <c r="CC1" s="117" t="s">
        <v>252</v>
      </c>
      <c r="CD1" s="117" t="s">
        <v>253</v>
      </c>
      <c r="CE1" s="117" t="s">
        <v>254</v>
      </c>
      <c r="CF1" s="117" t="s">
        <v>255</v>
      </c>
      <c r="CG1" s="117" t="s">
        <v>256</v>
      </c>
      <c r="CH1" s="117" t="s">
        <v>257</v>
      </c>
      <c r="CI1" s="117" t="s">
        <v>258</v>
      </c>
      <c r="CJ1" s="117" t="s">
        <v>259</v>
      </c>
      <c r="CK1" s="117" t="s">
        <v>260</v>
      </c>
      <c r="CL1" s="117" t="s">
        <v>261</v>
      </c>
      <c r="CM1" s="117" t="s">
        <v>262</v>
      </c>
      <c r="CN1" s="117" t="s">
        <v>263</v>
      </c>
      <c r="CO1" s="117" t="s">
        <v>264</v>
      </c>
      <c r="CP1" s="117" t="s">
        <v>265</v>
      </c>
      <c r="CQ1" s="117" t="s">
        <v>266</v>
      </c>
      <c r="CR1" s="117" t="s">
        <v>267</v>
      </c>
      <c r="CS1" s="117" t="s">
        <v>268</v>
      </c>
      <c r="CT1" s="117" t="s">
        <v>269</v>
      </c>
      <c r="CU1" s="117" t="s">
        <v>270</v>
      </c>
      <c r="CV1" s="117" t="s">
        <v>271</v>
      </c>
      <c r="CW1" s="117" t="s">
        <v>272</v>
      </c>
      <c r="CX1" s="117" t="s">
        <v>273</v>
      </c>
      <c r="CY1" s="117" t="s">
        <v>274</v>
      </c>
      <c r="CZ1" s="117" t="s">
        <v>275</v>
      </c>
      <c r="DA1" s="117" t="s">
        <v>276</v>
      </c>
      <c r="DB1" s="117" t="s">
        <v>277</v>
      </c>
      <c r="DC1" s="117" t="s">
        <v>278</v>
      </c>
      <c r="DD1" s="117" t="s">
        <v>279</v>
      </c>
      <c r="DE1" s="117" t="s">
        <v>280</v>
      </c>
      <c r="DF1" s="117" t="s">
        <v>281</v>
      </c>
      <c r="DG1" s="117" t="s">
        <v>112</v>
      </c>
      <c r="DH1" s="117" t="s">
        <v>282</v>
      </c>
      <c r="DI1" s="117" t="s">
        <v>283</v>
      </c>
      <c r="DJ1" s="117" t="s">
        <v>284</v>
      </c>
      <c r="DK1" s="117" t="s">
        <v>285</v>
      </c>
      <c r="DL1" s="117" t="s">
        <v>286</v>
      </c>
      <c r="DM1" s="117" t="s">
        <v>287</v>
      </c>
      <c r="DN1" s="117" t="s">
        <v>288</v>
      </c>
      <c r="DO1" s="117" t="s">
        <v>96</v>
      </c>
      <c r="DP1" s="117" t="s">
        <v>289</v>
      </c>
      <c r="DQ1" s="117" t="s">
        <v>290</v>
      </c>
      <c r="DR1" s="117" t="s">
        <v>291</v>
      </c>
      <c r="DS1" s="117" t="s">
        <v>292</v>
      </c>
      <c r="DT1" s="117" t="s">
        <v>293</v>
      </c>
      <c r="DU1" s="117" t="s">
        <v>294</v>
      </c>
      <c r="DV1" s="117" t="s">
        <v>295</v>
      </c>
      <c r="DW1" s="117" t="s">
        <v>296</v>
      </c>
      <c r="DX1" s="117" t="s">
        <v>297</v>
      </c>
      <c r="DY1" s="117" t="s">
        <v>298</v>
      </c>
      <c r="DZ1" s="117" t="s">
        <v>299</v>
      </c>
      <c r="EA1" s="117" t="s">
        <v>300</v>
      </c>
      <c r="EB1" s="117" t="s">
        <v>301</v>
      </c>
      <c r="EC1" s="117" t="s">
        <v>302</v>
      </c>
      <c r="ED1" s="117" t="s">
        <v>303</v>
      </c>
      <c r="EE1" s="117" t="s">
        <v>304</v>
      </c>
      <c r="EF1" s="117" t="s">
        <v>305</v>
      </c>
      <c r="EG1" s="117" t="s">
        <v>306</v>
      </c>
      <c r="EH1" s="117" t="s">
        <v>307</v>
      </c>
      <c r="EI1" s="117" t="s">
        <v>91</v>
      </c>
      <c r="EJ1" s="117" t="s">
        <v>308</v>
      </c>
      <c r="EK1" s="117" t="s">
        <v>309</v>
      </c>
      <c r="EL1" s="117" t="s">
        <v>310</v>
      </c>
      <c r="EM1" s="117" t="s">
        <v>311</v>
      </c>
      <c r="EN1" s="117" t="s">
        <v>312</v>
      </c>
      <c r="EO1" s="117" t="s">
        <v>313</v>
      </c>
      <c r="EP1" s="117" t="s">
        <v>314</v>
      </c>
      <c r="EQ1" s="117" t="s">
        <v>315</v>
      </c>
      <c r="ER1" s="117" t="s">
        <v>316</v>
      </c>
      <c r="ES1" s="117" t="s">
        <v>317</v>
      </c>
      <c r="ET1" s="117" t="s">
        <v>318</v>
      </c>
      <c r="EU1" s="117" t="s">
        <v>319</v>
      </c>
      <c r="EV1" s="117" t="s">
        <v>320</v>
      </c>
      <c r="EW1" s="117" t="s">
        <v>321</v>
      </c>
      <c r="EX1" s="117" t="s">
        <v>322</v>
      </c>
      <c r="EY1" s="117" t="s">
        <v>323</v>
      </c>
      <c r="EZ1" s="117" t="s">
        <v>144</v>
      </c>
      <c r="FA1" s="117" t="s">
        <v>145</v>
      </c>
      <c r="FB1" s="117" t="s">
        <v>324</v>
      </c>
    </row>
    <row r="2" ht="22.5" customHeight="1">
      <c r="A2" s="118">
        <v>45912.708306342596</v>
      </c>
      <c r="B2" s="119" t="s">
        <v>325</v>
      </c>
      <c r="C2" s="119" t="s">
        <v>16</v>
      </c>
      <c r="D2" s="119" t="s">
        <v>63</v>
      </c>
      <c r="E2" s="119" t="s">
        <v>39</v>
      </c>
      <c r="F2" s="119" t="s">
        <v>40</v>
      </c>
      <c r="G2" s="119" t="s">
        <v>70</v>
      </c>
      <c r="H2" s="119" t="s">
        <v>71</v>
      </c>
      <c r="I2" s="119" t="s">
        <v>326</v>
      </c>
      <c r="J2" s="119" t="s">
        <v>74</v>
      </c>
      <c r="K2" s="119" t="s">
        <v>327</v>
      </c>
      <c r="L2" s="119" t="s">
        <v>44</v>
      </c>
      <c r="M2" s="119" t="s">
        <v>55</v>
      </c>
      <c r="N2" s="119" t="s">
        <v>46</v>
      </c>
      <c r="O2" s="119" t="s">
        <v>42</v>
      </c>
      <c r="P2" s="119" t="s">
        <v>42</v>
      </c>
      <c r="Q2" s="119" t="s">
        <v>42</v>
      </c>
      <c r="R2" s="119" t="s">
        <v>49</v>
      </c>
      <c r="S2" s="119" t="s">
        <v>50</v>
      </c>
      <c r="T2" s="119" t="s">
        <v>51</v>
      </c>
      <c r="U2" s="119" t="s">
        <v>59</v>
      </c>
      <c r="V2" s="119" t="s">
        <v>54</v>
      </c>
      <c r="W2" s="119" t="s">
        <v>40</v>
      </c>
      <c r="X2" s="119" t="s">
        <v>47</v>
      </c>
      <c r="Y2" s="119" t="s">
        <v>55</v>
      </c>
      <c r="Z2" s="119" t="s">
        <v>42</v>
      </c>
      <c r="AA2" s="119" t="s">
        <v>43</v>
      </c>
      <c r="AB2" s="119" t="s">
        <v>57</v>
      </c>
      <c r="AC2" s="119" t="s">
        <v>46</v>
      </c>
      <c r="AD2" s="119" t="s">
        <v>45</v>
      </c>
      <c r="AE2" s="119" t="s">
        <v>59</v>
      </c>
      <c r="AF2" s="119" t="s">
        <v>41</v>
      </c>
      <c r="AG2" s="119" t="s">
        <v>39</v>
      </c>
      <c r="AH2" s="119" t="s">
        <v>42</v>
      </c>
      <c r="AI2" s="119" t="s">
        <v>326</v>
      </c>
      <c r="AJ2" s="119" t="s">
        <v>60</v>
      </c>
      <c r="AK2" s="119" t="s">
        <v>49</v>
      </c>
      <c r="AL2" s="119" t="s">
        <v>42</v>
      </c>
      <c r="AM2" s="119" t="s">
        <v>52</v>
      </c>
      <c r="AN2" s="119" t="s">
        <v>52</v>
      </c>
      <c r="AO2" s="119" t="s">
        <v>328</v>
      </c>
      <c r="AP2" s="119" t="s">
        <v>39</v>
      </c>
      <c r="AQ2" s="119" t="s">
        <v>44</v>
      </c>
      <c r="AR2" s="119" t="s">
        <v>42</v>
      </c>
      <c r="AS2" s="119" t="s">
        <v>63</v>
      </c>
      <c r="AT2" s="119" t="s">
        <v>61</v>
      </c>
      <c r="AU2" s="119" t="s">
        <v>42</v>
      </c>
      <c r="AV2" s="119" t="s">
        <v>59</v>
      </c>
      <c r="AW2" s="119" t="s">
        <v>58</v>
      </c>
      <c r="AX2" s="119" t="s">
        <v>64</v>
      </c>
      <c r="AY2" s="119" t="s">
        <v>55</v>
      </c>
      <c r="AZ2" s="119" t="s">
        <v>54</v>
      </c>
      <c r="BA2" s="119" t="s">
        <v>42</v>
      </c>
      <c r="BB2" s="119" t="s">
        <v>51</v>
      </c>
      <c r="BC2" s="119" t="s">
        <v>43</v>
      </c>
      <c r="BD2" s="119" t="s">
        <v>42</v>
      </c>
      <c r="BE2" s="119" t="s">
        <v>45</v>
      </c>
      <c r="BF2" s="119" t="s">
        <v>60</v>
      </c>
      <c r="BG2" s="119" t="s">
        <v>39</v>
      </c>
      <c r="BH2" s="119" t="s">
        <v>44</v>
      </c>
      <c r="BI2" s="119" t="s">
        <v>46</v>
      </c>
      <c r="BJ2" s="119" t="s">
        <v>56</v>
      </c>
      <c r="BK2" s="119" t="s">
        <v>71</v>
      </c>
      <c r="BL2" s="119" t="s">
        <v>43</v>
      </c>
      <c r="BM2" s="119" t="s">
        <v>74</v>
      </c>
      <c r="BN2" s="119" t="s">
        <v>42</v>
      </c>
      <c r="BO2" s="119" t="s">
        <v>55</v>
      </c>
      <c r="BP2" s="119" t="s">
        <v>326</v>
      </c>
      <c r="BQ2" s="119" t="s">
        <v>49</v>
      </c>
      <c r="BR2" s="119" t="s">
        <v>47</v>
      </c>
      <c r="BS2" s="119" t="s">
        <v>68</v>
      </c>
      <c r="BT2" s="119" t="s">
        <v>52</v>
      </c>
      <c r="BU2" s="119" t="s">
        <v>75</v>
      </c>
      <c r="BV2" s="119" t="s">
        <v>54</v>
      </c>
      <c r="BW2" s="119" t="s">
        <v>59</v>
      </c>
      <c r="BX2" s="119" t="s">
        <v>70</v>
      </c>
      <c r="BY2" s="119" t="s">
        <v>58</v>
      </c>
      <c r="BZ2" s="119" t="s">
        <v>49</v>
      </c>
      <c r="CA2" s="119" t="s">
        <v>55</v>
      </c>
      <c r="CB2" s="119" t="s">
        <v>326</v>
      </c>
      <c r="CC2" s="119" t="s">
        <v>60</v>
      </c>
      <c r="CD2" s="119" t="s">
        <v>64</v>
      </c>
      <c r="CE2" s="119" t="s">
        <v>71</v>
      </c>
      <c r="CF2" s="119" t="s">
        <v>42</v>
      </c>
      <c r="CG2" s="119" t="s">
        <v>72</v>
      </c>
      <c r="CH2" s="119" t="s">
        <v>66</v>
      </c>
      <c r="CI2" s="119" t="s">
        <v>44</v>
      </c>
      <c r="CJ2" s="119" t="s">
        <v>46</v>
      </c>
      <c r="CK2" s="119" t="s">
        <v>39</v>
      </c>
      <c r="CL2" s="119" t="s">
        <v>42</v>
      </c>
      <c r="CM2" s="119" t="s">
        <v>50</v>
      </c>
      <c r="CN2" s="119" t="s">
        <v>48</v>
      </c>
      <c r="CO2" s="119" t="s">
        <v>42</v>
      </c>
      <c r="CP2" s="119" t="s">
        <v>74</v>
      </c>
      <c r="CQ2" s="119" t="s">
        <v>45</v>
      </c>
      <c r="CR2" s="119" t="s">
        <v>46</v>
      </c>
      <c r="CS2" s="119" t="s">
        <v>52</v>
      </c>
      <c r="CT2" s="119" t="s">
        <v>42</v>
      </c>
      <c r="CU2" s="119" t="s">
        <v>43</v>
      </c>
      <c r="CV2" s="119" t="s">
        <v>63</v>
      </c>
      <c r="CW2" s="119" t="s">
        <v>66</v>
      </c>
      <c r="CX2" s="119" t="s">
        <v>57</v>
      </c>
      <c r="CY2" s="119" t="s">
        <v>326</v>
      </c>
      <c r="CZ2" s="119" t="s">
        <v>42</v>
      </c>
      <c r="DA2" s="119" t="s">
        <v>61</v>
      </c>
      <c r="DB2" s="119" t="s">
        <v>68</v>
      </c>
      <c r="DC2" s="119" t="s">
        <v>70</v>
      </c>
      <c r="DD2" s="119" t="s">
        <v>71</v>
      </c>
      <c r="DE2" s="119" t="s">
        <v>42</v>
      </c>
      <c r="DF2" s="119" t="s">
        <v>42</v>
      </c>
      <c r="DG2" s="119" t="s">
        <v>49</v>
      </c>
      <c r="DH2" s="119" t="s">
        <v>48</v>
      </c>
      <c r="DI2" s="119" t="s">
        <v>49</v>
      </c>
      <c r="DJ2" s="119" t="s">
        <v>40</v>
      </c>
      <c r="DK2" s="119" t="s">
        <v>47</v>
      </c>
      <c r="DL2" s="119" t="s">
        <v>326</v>
      </c>
      <c r="DM2" s="119" t="s">
        <v>43</v>
      </c>
      <c r="DN2" s="119" t="s">
        <v>44</v>
      </c>
      <c r="DO2" s="119" t="s">
        <v>74</v>
      </c>
      <c r="DP2" s="119" t="s">
        <v>60</v>
      </c>
      <c r="DQ2" s="119" t="s">
        <v>58</v>
      </c>
      <c r="DR2" s="119" t="s">
        <v>50</v>
      </c>
      <c r="DS2" s="119" t="s">
        <v>55</v>
      </c>
      <c r="DT2" s="119" t="s">
        <v>54</v>
      </c>
      <c r="DU2" s="119" t="s">
        <v>71</v>
      </c>
      <c r="DV2" s="119" t="s">
        <v>52</v>
      </c>
      <c r="DW2" s="119" t="s">
        <v>46</v>
      </c>
      <c r="DX2" s="119" t="s">
        <v>59</v>
      </c>
      <c r="DY2" s="119" t="s">
        <v>45</v>
      </c>
      <c r="DZ2" s="119" t="s">
        <v>327</v>
      </c>
      <c r="EA2" s="119" t="s">
        <v>44</v>
      </c>
      <c r="EB2" s="119" t="s">
        <v>49</v>
      </c>
      <c r="EC2" s="119" t="s">
        <v>46</v>
      </c>
      <c r="ED2" s="119" t="s">
        <v>42</v>
      </c>
      <c r="EE2" s="119" t="s">
        <v>52</v>
      </c>
      <c r="EF2" s="119" t="s">
        <v>39</v>
      </c>
      <c r="EG2" s="119" t="s">
        <v>68</v>
      </c>
      <c r="EH2" s="119" t="s">
        <v>56</v>
      </c>
      <c r="EI2" s="119" t="s">
        <v>40</v>
      </c>
      <c r="EJ2" s="119" t="s">
        <v>43</v>
      </c>
      <c r="EK2" s="119" t="s">
        <v>48</v>
      </c>
      <c r="EL2" s="119" t="s">
        <v>45</v>
      </c>
      <c r="EM2" s="119" t="s">
        <v>42</v>
      </c>
      <c r="EN2" s="119" t="s">
        <v>54</v>
      </c>
      <c r="EO2" s="119" t="s">
        <v>64</v>
      </c>
      <c r="EP2" s="119" t="s">
        <v>75</v>
      </c>
      <c r="EQ2" s="119" t="s">
        <v>60</v>
      </c>
      <c r="ER2" s="119" t="s">
        <v>46</v>
      </c>
      <c r="ES2" s="119" t="s">
        <v>55</v>
      </c>
      <c r="ET2" s="119" t="s">
        <v>52</v>
      </c>
      <c r="EU2" s="119" t="s">
        <v>326</v>
      </c>
      <c r="EV2" s="119" t="s">
        <v>45</v>
      </c>
      <c r="EW2" s="119" t="s">
        <v>39</v>
      </c>
      <c r="EX2" s="119" t="s">
        <v>44</v>
      </c>
      <c r="EY2" s="119" t="s">
        <v>49</v>
      </c>
      <c r="EZ2" s="120" t="s">
        <v>329</v>
      </c>
      <c r="FA2" s="119" t="s">
        <v>330</v>
      </c>
      <c r="FB2" s="119" t="s">
        <v>52</v>
      </c>
    </row>
    <row r="3" ht="22.5" customHeight="1">
      <c r="A3" s="121">
        <v>45915.30908009259</v>
      </c>
      <c r="B3" s="120" t="s">
        <v>331</v>
      </c>
      <c r="C3" s="120" t="s">
        <v>21</v>
      </c>
      <c r="D3" s="120" t="s">
        <v>63</v>
      </c>
      <c r="E3" s="120" t="s">
        <v>39</v>
      </c>
      <c r="F3" s="120" t="s">
        <v>40</v>
      </c>
      <c r="G3" s="120" t="s">
        <v>70</v>
      </c>
      <c r="H3" s="120" t="s">
        <v>61</v>
      </c>
      <c r="I3" s="120" t="s">
        <v>43</v>
      </c>
      <c r="J3" s="120" t="s">
        <v>74</v>
      </c>
      <c r="K3" s="120" t="s">
        <v>42</v>
      </c>
      <c r="L3" s="120" t="s">
        <v>44</v>
      </c>
      <c r="M3" s="120" t="s">
        <v>55</v>
      </c>
      <c r="N3" s="120" t="s">
        <v>56</v>
      </c>
      <c r="O3" s="120" t="s">
        <v>47</v>
      </c>
      <c r="P3" s="120" t="s">
        <v>48</v>
      </c>
      <c r="Q3" s="120" t="s">
        <v>42</v>
      </c>
      <c r="R3" s="120" t="s">
        <v>49</v>
      </c>
      <c r="S3" s="120" t="s">
        <v>58</v>
      </c>
      <c r="T3" s="120" t="s">
        <v>51</v>
      </c>
      <c r="U3" s="120" t="s">
        <v>52</v>
      </c>
      <c r="V3" s="120" t="s">
        <v>48</v>
      </c>
      <c r="W3" s="120" t="s">
        <v>40</v>
      </c>
      <c r="X3" s="120" t="s">
        <v>47</v>
      </c>
      <c r="Y3" s="120" t="s">
        <v>55</v>
      </c>
      <c r="Z3" s="120" t="s">
        <v>56</v>
      </c>
      <c r="AA3" s="120" t="s">
        <v>43</v>
      </c>
      <c r="AB3" s="120" t="s">
        <v>42</v>
      </c>
      <c r="AC3" s="120" t="s">
        <v>46</v>
      </c>
      <c r="AD3" s="120" t="s">
        <v>45</v>
      </c>
      <c r="AE3" s="120" t="s">
        <v>59</v>
      </c>
      <c r="AF3" s="120" t="s">
        <v>42</v>
      </c>
      <c r="AG3" s="120" t="s">
        <v>39</v>
      </c>
      <c r="AH3" s="120" t="s">
        <v>63</v>
      </c>
      <c r="AI3" s="120" t="s">
        <v>71</v>
      </c>
      <c r="AJ3" s="120" t="s">
        <v>60</v>
      </c>
      <c r="AK3" s="120" t="s">
        <v>49</v>
      </c>
      <c r="AL3" s="120" t="s">
        <v>61</v>
      </c>
      <c r="AM3" s="120" t="s">
        <v>52</v>
      </c>
      <c r="AN3" s="120" t="s">
        <v>52</v>
      </c>
      <c r="AO3" s="120" t="s">
        <v>67</v>
      </c>
      <c r="AP3" s="120" t="s">
        <v>56</v>
      </c>
      <c r="AQ3" s="120" t="s">
        <v>44</v>
      </c>
      <c r="AR3" s="120" t="s">
        <v>49</v>
      </c>
      <c r="AS3" s="120" t="s">
        <v>60</v>
      </c>
      <c r="AT3" s="120" t="s">
        <v>61</v>
      </c>
      <c r="AU3" s="120" t="s">
        <v>47</v>
      </c>
      <c r="AV3" s="120" t="s">
        <v>70</v>
      </c>
      <c r="AW3" s="120" t="s">
        <v>42</v>
      </c>
      <c r="AX3" s="120" t="s">
        <v>64</v>
      </c>
      <c r="AY3" s="120" t="s">
        <v>55</v>
      </c>
      <c r="AZ3" s="120" t="s">
        <v>327</v>
      </c>
      <c r="BA3" s="120" t="s">
        <v>46</v>
      </c>
      <c r="BB3" s="120" t="s">
        <v>51</v>
      </c>
      <c r="BC3" s="120" t="s">
        <v>43</v>
      </c>
      <c r="BD3" s="120" t="s">
        <v>40</v>
      </c>
      <c r="BE3" s="120" t="s">
        <v>45</v>
      </c>
      <c r="BF3" s="120" t="s">
        <v>60</v>
      </c>
      <c r="BG3" s="120" t="s">
        <v>39</v>
      </c>
      <c r="BH3" s="120" t="s">
        <v>44</v>
      </c>
      <c r="BI3" s="120" t="s">
        <v>40</v>
      </c>
      <c r="BJ3" s="120" t="s">
        <v>56</v>
      </c>
      <c r="BK3" s="120" t="s">
        <v>51</v>
      </c>
      <c r="BL3" s="120" t="s">
        <v>43</v>
      </c>
      <c r="BM3" s="120" t="s">
        <v>74</v>
      </c>
      <c r="BN3" s="120" t="s">
        <v>66</v>
      </c>
      <c r="BO3" s="120" t="s">
        <v>55</v>
      </c>
      <c r="BP3" s="120" t="s">
        <v>326</v>
      </c>
      <c r="BQ3" s="120" t="s">
        <v>49</v>
      </c>
      <c r="BR3" s="120" t="s">
        <v>47</v>
      </c>
      <c r="BS3" s="120" t="s">
        <v>70</v>
      </c>
      <c r="BT3" s="120" t="s">
        <v>52</v>
      </c>
      <c r="BU3" s="120" t="s">
        <v>58</v>
      </c>
      <c r="BV3" s="120" t="s">
        <v>54</v>
      </c>
      <c r="BW3" s="120" t="s">
        <v>64</v>
      </c>
      <c r="BX3" s="120" t="s">
        <v>70</v>
      </c>
      <c r="BY3" s="120" t="s">
        <v>58</v>
      </c>
      <c r="BZ3" s="120" t="s">
        <v>49</v>
      </c>
      <c r="CA3" s="120" t="s">
        <v>55</v>
      </c>
      <c r="CB3" s="120" t="s">
        <v>61</v>
      </c>
      <c r="CC3" s="120" t="s">
        <v>42</v>
      </c>
      <c r="CD3" s="120" t="s">
        <v>64</v>
      </c>
      <c r="CE3" s="120" t="s">
        <v>71</v>
      </c>
      <c r="CF3" s="120" t="s">
        <v>57</v>
      </c>
      <c r="CG3" s="120" t="s">
        <v>72</v>
      </c>
      <c r="CH3" s="120" t="s">
        <v>66</v>
      </c>
      <c r="CI3" s="120" t="s">
        <v>44</v>
      </c>
      <c r="CJ3" s="120" t="s">
        <v>46</v>
      </c>
      <c r="CK3" s="120" t="s">
        <v>45</v>
      </c>
      <c r="CL3" s="120" t="s">
        <v>56</v>
      </c>
      <c r="CM3" s="120" t="s">
        <v>54</v>
      </c>
      <c r="CN3" s="120" t="s">
        <v>51</v>
      </c>
      <c r="CO3" s="120" t="s">
        <v>40</v>
      </c>
      <c r="CP3" s="120" t="s">
        <v>74</v>
      </c>
      <c r="CQ3" s="120" t="s">
        <v>45</v>
      </c>
      <c r="CR3" s="120" t="s">
        <v>46</v>
      </c>
      <c r="CS3" s="120" t="s">
        <v>52</v>
      </c>
      <c r="CT3" s="120" t="s">
        <v>55</v>
      </c>
      <c r="CU3" s="120" t="s">
        <v>43</v>
      </c>
      <c r="CV3" s="120" t="s">
        <v>56</v>
      </c>
      <c r="CW3" s="120" t="s">
        <v>66</v>
      </c>
      <c r="CX3" s="120" t="s">
        <v>38</v>
      </c>
      <c r="CY3" s="120" t="s">
        <v>42</v>
      </c>
      <c r="CZ3" s="120" t="s">
        <v>75</v>
      </c>
      <c r="DA3" s="120" t="s">
        <v>61</v>
      </c>
      <c r="DB3" s="120" t="s">
        <v>59</v>
      </c>
      <c r="DC3" s="120" t="s">
        <v>70</v>
      </c>
      <c r="DD3" s="120" t="s">
        <v>71</v>
      </c>
      <c r="DE3" s="120" t="s">
        <v>48</v>
      </c>
      <c r="DF3" s="120" t="s">
        <v>44</v>
      </c>
      <c r="DG3" s="120" t="s">
        <v>40</v>
      </c>
      <c r="DH3" s="120" t="s">
        <v>48</v>
      </c>
      <c r="DI3" s="120" t="s">
        <v>49</v>
      </c>
      <c r="DJ3" s="120" t="s">
        <v>40</v>
      </c>
      <c r="DK3" s="120" t="s">
        <v>47</v>
      </c>
      <c r="DL3" s="120" t="s">
        <v>75</v>
      </c>
      <c r="DM3" s="120" t="s">
        <v>43</v>
      </c>
      <c r="DN3" s="120" t="s">
        <v>44</v>
      </c>
      <c r="DO3" s="120" t="s">
        <v>68</v>
      </c>
      <c r="DP3" s="120" t="s">
        <v>72</v>
      </c>
      <c r="DQ3" s="120" t="s">
        <v>56</v>
      </c>
      <c r="DR3" s="120" t="s">
        <v>42</v>
      </c>
      <c r="DS3" s="120" t="s">
        <v>55</v>
      </c>
      <c r="DT3" s="120" t="s">
        <v>64</v>
      </c>
      <c r="DU3" s="120" t="s">
        <v>70</v>
      </c>
      <c r="DV3" s="120" t="s">
        <v>52</v>
      </c>
      <c r="DW3" s="120" t="s">
        <v>46</v>
      </c>
      <c r="DX3" s="120" t="s">
        <v>59</v>
      </c>
      <c r="DY3" s="120" t="s">
        <v>45</v>
      </c>
      <c r="DZ3" s="120" t="s">
        <v>42</v>
      </c>
      <c r="EA3" s="120" t="s">
        <v>44</v>
      </c>
      <c r="EB3" s="120" t="s">
        <v>49</v>
      </c>
      <c r="EC3" s="120" t="s">
        <v>46</v>
      </c>
      <c r="ED3" s="120" t="s">
        <v>61</v>
      </c>
      <c r="EE3" s="120" t="s">
        <v>52</v>
      </c>
      <c r="EF3" s="120" t="s">
        <v>39</v>
      </c>
      <c r="EG3" s="120" t="s">
        <v>68</v>
      </c>
      <c r="EH3" s="120" t="s">
        <v>56</v>
      </c>
      <c r="EI3" s="120" t="s">
        <v>40</v>
      </c>
      <c r="EJ3" s="120" t="s">
        <v>43</v>
      </c>
      <c r="EK3" s="120" t="s">
        <v>48</v>
      </c>
      <c r="EL3" s="120" t="s">
        <v>45</v>
      </c>
      <c r="EM3" s="120" t="s">
        <v>71</v>
      </c>
      <c r="EN3" s="120" t="s">
        <v>42</v>
      </c>
      <c r="EO3" s="120" t="s">
        <v>51</v>
      </c>
      <c r="EP3" s="120" t="s">
        <v>75</v>
      </c>
      <c r="EQ3" s="120" t="s">
        <v>55</v>
      </c>
      <c r="ER3" s="120" t="s">
        <v>40</v>
      </c>
      <c r="ES3" s="120" t="s">
        <v>49</v>
      </c>
      <c r="ET3" s="120" t="s">
        <v>45</v>
      </c>
      <c r="EU3" s="120" t="s">
        <v>44</v>
      </c>
      <c r="EV3" s="120" t="s">
        <v>39</v>
      </c>
      <c r="EW3" s="120" t="s">
        <v>47</v>
      </c>
      <c r="EX3" s="120" t="s">
        <v>52</v>
      </c>
      <c r="EY3" s="120" t="s">
        <v>46</v>
      </c>
      <c r="EZ3" s="120" t="s">
        <v>332</v>
      </c>
      <c r="FA3" s="120" t="s">
        <v>333</v>
      </c>
      <c r="FB3" s="120" t="s">
        <v>46</v>
      </c>
    </row>
    <row r="4" ht="22.5" customHeight="1">
      <c r="A4" s="121">
        <v>45915.340367743054</v>
      </c>
      <c r="B4" s="120" t="s">
        <v>334</v>
      </c>
      <c r="C4" s="120" t="s">
        <v>17</v>
      </c>
      <c r="D4" s="120" t="s">
        <v>63</v>
      </c>
      <c r="E4" s="120" t="s">
        <v>39</v>
      </c>
      <c r="F4" s="120" t="s">
        <v>40</v>
      </c>
      <c r="G4" s="120" t="s">
        <v>70</v>
      </c>
      <c r="H4" s="120" t="s">
        <v>61</v>
      </c>
      <c r="I4" s="120" t="s">
        <v>43</v>
      </c>
      <c r="J4" s="120" t="s">
        <v>42</v>
      </c>
      <c r="K4" s="120" t="s">
        <v>42</v>
      </c>
      <c r="L4" s="120" t="s">
        <v>44</v>
      </c>
      <c r="M4" s="120" t="s">
        <v>45</v>
      </c>
      <c r="N4" s="120" t="s">
        <v>46</v>
      </c>
      <c r="O4" s="120" t="s">
        <v>47</v>
      </c>
      <c r="P4" s="120" t="s">
        <v>42</v>
      </c>
      <c r="Q4" s="120" t="s">
        <v>42</v>
      </c>
      <c r="R4" s="120" t="s">
        <v>49</v>
      </c>
      <c r="S4" s="120" t="s">
        <v>58</v>
      </c>
      <c r="T4" s="120" t="s">
        <v>51</v>
      </c>
      <c r="U4" s="120" t="s">
        <v>59</v>
      </c>
      <c r="V4" s="120" t="s">
        <v>54</v>
      </c>
      <c r="W4" s="120" t="s">
        <v>40</v>
      </c>
      <c r="X4" s="120" t="s">
        <v>47</v>
      </c>
      <c r="Y4" s="120" t="s">
        <v>55</v>
      </c>
      <c r="Z4" s="120" t="s">
        <v>56</v>
      </c>
      <c r="AA4" s="120" t="s">
        <v>43</v>
      </c>
      <c r="AB4" s="120" t="s">
        <v>57</v>
      </c>
      <c r="AC4" s="120" t="s">
        <v>46</v>
      </c>
      <c r="AD4" s="120" t="s">
        <v>45</v>
      </c>
      <c r="AE4" s="120" t="s">
        <v>59</v>
      </c>
      <c r="AF4" s="120" t="s">
        <v>41</v>
      </c>
      <c r="AG4" s="120" t="s">
        <v>39</v>
      </c>
      <c r="AH4" s="120" t="s">
        <v>42</v>
      </c>
      <c r="AI4" s="120" t="s">
        <v>326</v>
      </c>
      <c r="AJ4" s="120" t="s">
        <v>60</v>
      </c>
      <c r="AK4" s="120" t="s">
        <v>42</v>
      </c>
      <c r="AL4" s="120" t="s">
        <v>61</v>
      </c>
      <c r="AM4" s="120" t="s">
        <v>52</v>
      </c>
      <c r="AN4" s="120" t="s">
        <v>52</v>
      </c>
      <c r="AO4" s="120" t="s">
        <v>328</v>
      </c>
      <c r="AP4" s="120" t="s">
        <v>39</v>
      </c>
      <c r="AQ4" s="120" t="s">
        <v>42</v>
      </c>
      <c r="AR4" s="120" t="s">
        <v>42</v>
      </c>
      <c r="AS4" s="120" t="s">
        <v>63</v>
      </c>
      <c r="AT4" s="120" t="s">
        <v>61</v>
      </c>
      <c r="AU4" s="120" t="s">
        <v>47</v>
      </c>
      <c r="AV4" s="120" t="s">
        <v>59</v>
      </c>
      <c r="AW4" s="120" t="s">
        <v>58</v>
      </c>
      <c r="AX4" s="120" t="s">
        <v>64</v>
      </c>
      <c r="AY4" s="120" t="s">
        <v>55</v>
      </c>
      <c r="AZ4" s="120" t="s">
        <v>54</v>
      </c>
      <c r="BA4" s="120" t="s">
        <v>46</v>
      </c>
      <c r="BB4" s="120" t="s">
        <v>51</v>
      </c>
      <c r="BC4" s="120" t="s">
        <v>43</v>
      </c>
      <c r="BD4" s="120" t="s">
        <v>40</v>
      </c>
      <c r="BE4" s="120" t="s">
        <v>45</v>
      </c>
      <c r="BF4" s="120" t="s">
        <v>60</v>
      </c>
      <c r="BG4" s="120" t="s">
        <v>39</v>
      </c>
      <c r="BH4" s="120" t="s">
        <v>44</v>
      </c>
      <c r="BI4" s="120" t="s">
        <v>46</v>
      </c>
      <c r="BJ4" s="120" t="s">
        <v>56</v>
      </c>
      <c r="BK4" s="120" t="s">
        <v>71</v>
      </c>
      <c r="BL4" s="120" t="s">
        <v>43</v>
      </c>
      <c r="BM4" s="120" t="s">
        <v>63</v>
      </c>
      <c r="BN4" s="120" t="s">
        <v>66</v>
      </c>
      <c r="BO4" s="120" t="s">
        <v>55</v>
      </c>
      <c r="BP4" s="120" t="s">
        <v>326</v>
      </c>
      <c r="BQ4" s="120" t="s">
        <v>49</v>
      </c>
      <c r="BR4" s="120" t="s">
        <v>47</v>
      </c>
      <c r="BS4" s="120" t="s">
        <v>70</v>
      </c>
      <c r="BT4" s="120" t="s">
        <v>52</v>
      </c>
      <c r="BU4" s="120" t="s">
        <v>75</v>
      </c>
      <c r="BV4" s="120" t="s">
        <v>42</v>
      </c>
      <c r="BW4" s="120" t="s">
        <v>59</v>
      </c>
      <c r="BX4" s="120" t="s">
        <v>75</v>
      </c>
      <c r="BY4" s="120" t="s">
        <v>58</v>
      </c>
      <c r="BZ4" s="120" t="s">
        <v>49</v>
      </c>
      <c r="CA4" s="120" t="s">
        <v>52</v>
      </c>
      <c r="CB4" s="120" t="s">
        <v>61</v>
      </c>
      <c r="CC4" s="120" t="s">
        <v>60</v>
      </c>
      <c r="CD4" s="120" t="s">
        <v>64</v>
      </c>
      <c r="CE4" s="120" t="s">
        <v>71</v>
      </c>
      <c r="CF4" s="120" t="s">
        <v>57</v>
      </c>
      <c r="CG4" s="120" t="s">
        <v>72</v>
      </c>
      <c r="CH4" s="120" t="s">
        <v>66</v>
      </c>
      <c r="CI4" s="120" t="s">
        <v>44</v>
      </c>
      <c r="CJ4" s="120" t="s">
        <v>46</v>
      </c>
      <c r="CK4" s="120" t="s">
        <v>39</v>
      </c>
      <c r="CL4" s="120" t="s">
        <v>47</v>
      </c>
      <c r="CM4" s="120" t="s">
        <v>54</v>
      </c>
      <c r="CN4" s="120" t="s">
        <v>51</v>
      </c>
      <c r="CO4" s="120" t="s">
        <v>40</v>
      </c>
      <c r="CP4" s="120" t="s">
        <v>328</v>
      </c>
      <c r="CQ4" s="120" t="s">
        <v>45</v>
      </c>
      <c r="CR4" s="120" t="s">
        <v>47</v>
      </c>
      <c r="CS4" s="120" t="s">
        <v>52</v>
      </c>
      <c r="CT4" s="120" t="s">
        <v>55</v>
      </c>
      <c r="CU4" s="120" t="s">
        <v>43</v>
      </c>
      <c r="CV4" s="120" t="s">
        <v>56</v>
      </c>
      <c r="CW4" s="120" t="s">
        <v>66</v>
      </c>
      <c r="CX4" s="120" t="s">
        <v>38</v>
      </c>
      <c r="CY4" s="120" t="s">
        <v>326</v>
      </c>
      <c r="CZ4" s="120" t="s">
        <v>75</v>
      </c>
      <c r="DA4" s="120" t="s">
        <v>61</v>
      </c>
      <c r="DB4" s="120" t="s">
        <v>68</v>
      </c>
      <c r="DC4" s="120" t="s">
        <v>60</v>
      </c>
      <c r="DD4" s="120" t="s">
        <v>71</v>
      </c>
      <c r="DE4" s="120" t="s">
        <v>42</v>
      </c>
      <c r="DF4" s="120" t="s">
        <v>44</v>
      </c>
      <c r="DG4" s="120" t="s">
        <v>40</v>
      </c>
      <c r="DH4" s="120" t="s">
        <v>48</v>
      </c>
      <c r="DI4" s="120" t="s">
        <v>49</v>
      </c>
      <c r="DJ4" s="120" t="s">
        <v>40</v>
      </c>
      <c r="DK4" s="120" t="s">
        <v>47</v>
      </c>
      <c r="DL4" s="120" t="s">
        <v>326</v>
      </c>
      <c r="DM4" s="120" t="s">
        <v>43</v>
      </c>
      <c r="DN4" s="120" t="s">
        <v>42</v>
      </c>
      <c r="DO4" s="120" t="s">
        <v>74</v>
      </c>
      <c r="DP4" s="120" t="s">
        <v>72</v>
      </c>
      <c r="DQ4" s="120" t="s">
        <v>56</v>
      </c>
      <c r="DR4" s="120" t="s">
        <v>42</v>
      </c>
      <c r="DS4" s="120" t="s">
        <v>55</v>
      </c>
      <c r="DT4" s="120" t="s">
        <v>54</v>
      </c>
      <c r="DU4" s="120" t="s">
        <v>71</v>
      </c>
      <c r="DV4" s="120" t="s">
        <v>52</v>
      </c>
      <c r="DW4" s="120" t="s">
        <v>46</v>
      </c>
      <c r="DX4" s="120" t="s">
        <v>63</v>
      </c>
      <c r="DY4" s="120" t="s">
        <v>45</v>
      </c>
      <c r="DZ4" s="120" t="s">
        <v>67</v>
      </c>
      <c r="EA4" s="120" t="s">
        <v>44</v>
      </c>
      <c r="EB4" s="120" t="s">
        <v>49</v>
      </c>
      <c r="EC4" s="120" t="s">
        <v>46</v>
      </c>
      <c r="ED4" s="120" t="s">
        <v>47</v>
      </c>
      <c r="EE4" s="120" t="s">
        <v>52</v>
      </c>
      <c r="EF4" s="120" t="s">
        <v>39</v>
      </c>
      <c r="EG4" s="120" t="s">
        <v>68</v>
      </c>
      <c r="EH4" s="120" t="s">
        <v>56</v>
      </c>
      <c r="EI4" s="120" t="s">
        <v>40</v>
      </c>
      <c r="EJ4" s="120" t="s">
        <v>43</v>
      </c>
      <c r="EK4" s="120" t="s">
        <v>48</v>
      </c>
      <c r="EL4" s="120" t="s">
        <v>63</v>
      </c>
      <c r="EM4" s="120" t="s">
        <v>66</v>
      </c>
      <c r="EN4" s="120" t="s">
        <v>54</v>
      </c>
      <c r="EO4" s="120" t="s">
        <v>64</v>
      </c>
      <c r="EP4" s="120" t="s">
        <v>75</v>
      </c>
      <c r="EQ4" s="120" t="s">
        <v>42</v>
      </c>
      <c r="ER4" s="120" t="s">
        <v>44</v>
      </c>
      <c r="ES4" s="120" t="s">
        <v>45</v>
      </c>
      <c r="ET4" s="120" t="s">
        <v>46</v>
      </c>
      <c r="EU4" s="120" t="s">
        <v>49</v>
      </c>
      <c r="EV4" s="120" t="s">
        <v>52</v>
      </c>
      <c r="EW4" s="120" t="s">
        <v>40</v>
      </c>
      <c r="EX4" s="120" t="s">
        <v>39</v>
      </c>
      <c r="EY4" s="120" t="s">
        <v>55</v>
      </c>
      <c r="EZ4" s="120" t="s">
        <v>335</v>
      </c>
      <c r="FA4" s="120" t="s">
        <v>336</v>
      </c>
      <c r="FB4" s="120" t="s">
        <v>40</v>
      </c>
    </row>
    <row r="5" ht="22.5" customHeight="1">
      <c r="A5" s="121">
        <v>45915.34037667824</v>
      </c>
      <c r="B5" s="120" t="s">
        <v>337</v>
      </c>
      <c r="C5" s="120" t="s">
        <v>15</v>
      </c>
      <c r="D5" s="120" t="s">
        <v>63</v>
      </c>
      <c r="E5" s="120" t="s">
        <v>42</v>
      </c>
      <c r="F5" s="120" t="s">
        <v>40</v>
      </c>
      <c r="G5" s="120" t="s">
        <v>70</v>
      </c>
      <c r="H5" s="120" t="s">
        <v>71</v>
      </c>
      <c r="I5" s="120" t="s">
        <v>43</v>
      </c>
      <c r="J5" s="120" t="s">
        <v>74</v>
      </c>
      <c r="K5" s="120" t="s">
        <v>327</v>
      </c>
      <c r="L5" s="120" t="s">
        <v>44</v>
      </c>
      <c r="M5" s="120" t="s">
        <v>55</v>
      </c>
      <c r="N5" s="120" t="s">
        <v>46</v>
      </c>
      <c r="O5" s="120" t="s">
        <v>47</v>
      </c>
      <c r="P5" s="120" t="s">
        <v>42</v>
      </c>
      <c r="Q5" s="120" t="s">
        <v>68</v>
      </c>
      <c r="R5" s="120" t="s">
        <v>49</v>
      </c>
      <c r="S5" s="120" t="s">
        <v>42</v>
      </c>
      <c r="T5" s="120" t="s">
        <v>51</v>
      </c>
      <c r="U5" s="120" t="s">
        <v>52</v>
      </c>
      <c r="V5" s="120" t="s">
        <v>54</v>
      </c>
      <c r="W5" s="120" t="s">
        <v>40</v>
      </c>
      <c r="X5" s="120" t="s">
        <v>47</v>
      </c>
      <c r="Y5" s="120" t="s">
        <v>55</v>
      </c>
      <c r="Z5" s="120" t="s">
        <v>56</v>
      </c>
      <c r="AA5" s="120" t="s">
        <v>43</v>
      </c>
      <c r="AB5" s="120" t="s">
        <v>57</v>
      </c>
      <c r="AC5" s="120" t="s">
        <v>46</v>
      </c>
      <c r="AD5" s="120" t="s">
        <v>45</v>
      </c>
      <c r="AE5" s="120" t="s">
        <v>59</v>
      </c>
      <c r="AF5" s="120" t="s">
        <v>41</v>
      </c>
      <c r="AG5" s="120" t="s">
        <v>39</v>
      </c>
      <c r="AH5" s="120" t="s">
        <v>68</v>
      </c>
      <c r="AI5" s="120" t="s">
        <v>326</v>
      </c>
      <c r="AJ5" s="120" t="s">
        <v>60</v>
      </c>
      <c r="AK5" s="120" t="s">
        <v>49</v>
      </c>
      <c r="AL5" s="120" t="s">
        <v>61</v>
      </c>
      <c r="AM5" s="120" t="s">
        <v>52</v>
      </c>
      <c r="AN5" s="120" t="s">
        <v>52</v>
      </c>
      <c r="AO5" s="120" t="s">
        <v>42</v>
      </c>
      <c r="AP5" s="120" t="s">
        <v>39</v>
      </c>
      <c r="AQ5" s="120" t="s">
        <v>44</v>
      </c>
      <c r="AR5" s="120" t="s">
        <v>49</v>
      </c>
      <c r="AS5" s="120" t="s">
        <v>60</v>
      </c>
      <c r="AT5" s="120" t="s">
        <v>61</v>
      </c>
      <c r="AU5" s="120" t="s">
        <v>47</v>
      </c>
      <c r="AV5" s="120" t="s">
        <v>42</v>
      </c>
      <c r="AW5" s="120" t="s">
        <v>58</v>
      </c>
      <c r="AX5" s="120" t="s">
        <v>64</v>
      </c>
      <c r="AY5" s="120" t="s">
        <v>55</v>
      </c>
      <c r="AZ5" s="120" t="s">
        <v>54</v>
      </c>
      <c r="BA5" s="120" t="s">
        <v>46</v>
      </c>
      <c r="BB5" s="120" t="s">
        <v>42</v>
      </c>
      <c r="BC5" s="120" t="s">
        <v>43</v>
      </c>
      <c r="BD5" s="120" t="s">
        <v>40</v>
      </c>
      <c r="BE5" s="120" t="s">
        <v>45</v>
      </c>
      <c r="BF5" s="120" t="s">
        <v>60</v>
      </c>
      <c r="BG5" s="120" t="s">
        <v>39</v>
      </c>
      <c r="BH5" s="120" t="s">
        <v>44</v>
      </c>
      <c r="BI5" s="120" t="s">
        <v>46</v>
      </c>
      <c r="BJ5" s="120" t="s">
        <v>56</v>
      </c>
      <c r="BK5" s="120" t="s">
        <v>71</v>
      </c>
      <c r="BL5" s="120" t="s">
        <v>43</v>
      </c>
      <c r="BM5" s="120" t="s">
        <v>42</v>
      </c>
      <c r="BN5" s="120" t="s">
        <v>66</v>
      </c>
      <c r="BO5" s="120" t="s">
        <v>55</v>
      </c>
      <c r="BP5" s="120" t="s">
        <v>326</v>
      </c>
      <c r="BQ5" s="120" t="s">
        <v>49</v>
      </c>
      <c r="BR5" s="120" t="s">
        <v>47</v>
      </c>
      <c r="BS5" s="120" t="s">
        <v>70</v>
      </c>
      <c r="BT5" s="120" t="s">
        <v>52</v>
      </c>
      <c r="BU5" s="120" t="s">
        <v>75</v>
      </c>
      <c r="BV5" s="120" t="s">
        <v>57</v>
      </c>
      <c r="BW5" s="120" t="s">
        <v>42</v>
      </c>
      <c r="BX5" s="120" t="s">
        <v>75</v>
      </c>
      <c r="BY5" s="120" t="s">
        <v>58</v>
      </c>
      <c r="BZ5" s="120" t="s">
        <v>49</v>
      </c>
      <c r="CA5" s="120" t="s">
        <v>55</v>
      </c>
      <c r="CB5" s="120" t="s">
        <v>61</v>
      </c>
      <c r="CC5" s="120" t="s">
        <v>60</v>
      </c>
      <c r="CD5" s="120" t="s">
        <v>327</v>
      </c>
      <c r="CE5" s="120" t="s">
        <v>71</v>
      </c>
      <c r="CF5" s="120" t="s">
        <v>42</v>
      </c>
      <c r="CG5" s="120" t="s">
        <v>72</v>
      </c>
      <c r="CH5" s="120" t="s">
        <v>66</v>
      </c>
      <c r="CI5" s="120" t="s">
        <v>44</v>
      </c>
      <c r="CJ5" s="120" t="s">
        <v>46</v>
      </c>
      <c r="CK5" s="120" t="s">
        <v>42</v>
      </c>
      <c r="CL5" s="120" t="s">
        <v>42</v>
      </c>
      <c r="CM5" s="120" t="s">
        <v>42</v>
      </c>
      <c r="CN5" s="120" t="s">
        <v>51</v>
      </c>
      <c r="CO5" s="120" t="s">
        <v>40</v>
      </c>
      <c r="CP5" s="120" t="s">
        <v>42</v>
      </c>
      <c r="CQ5" s="120" t="s">
        <v>45</v>
      </c>
      <c r="CR5" s="120" t="s">
        <v>46</v>
      </c>
      <c r="CS5" s="120" t="s">
        <v>52</v>
      </c>
      <c r="CT5" s="120" t="s">
        <v>55</v>
      </c>
      <c r="CU5" s="120" t="s">
        <v>43</v>
      </c>
      <c r="CV5" s="120" t="s">
        <v>56</v>
      </c>
      <c r="CW5" s="120" t="s">
        <v>66</v>
      </c>
      <c r="CX5" s="120" t="s">
        <v>42</v>
      </c>
      <c r="CY5" s="120" t="s">
        <v>326</v>
      </c>
      <c r="CZ5" s="120" t="s">
        <v>75</v>
      </c>
      <c r="DA5" s="120" t="s">
        <v>61</v>
      </c>
      <c r="DB5" s="120" t="s">
        <v>68</v>
      </c>
      <c r="DC5" s="120" t="s">
        <v>42</v>
      </c>
      <c r="DD5" s="120" t="s">
        <v>71</v>
      </c>
      <c r="DE5" s="120" t="s">
        <v>39</v>
      </c>
      <c r="DF5" s="120" t="s">
        <v>44</v>
      </c>
      <c r="DG5" s="120" t="s">
        <v>40</v>
      </c>
      <c r="DH5" s="120" t="s">
        <v>48</v>
      </c>
      <c r="DI5" s="120" t="s">
        <v>49</v>
      </c>
      <c r="DJ5" s="120" t="s">
        <v>40</v>
      </c>
      <c r="DK5" s="120" t="s">
        <v>47</v>
      </c>
      <c r="DL5" s="120" t="s">
        <v>326</v>
      </c>
      <c r="DM5" s="120" t="s">
        <v>43</v>
      </c>
      <c r="DN5" s="120" t="s">
        <v>44</v>
      </c>
      <c r="DO5" s="120" t="s">
        <v>74</v>
      </c>
      <c r="DP5" s="120" t="s">
        <v>60</v>
      </c>
      <c r="DQ5" s="120" t="s">
        <v>56</v>
      </c>
      <c r="DR5" s="120" t="s">
        <v>50</v>
      </c>
      <c r="DS5" s="120" t="s">
        <v>55</v>
      </c>
      <c r="DT5" s="120" t="s">
        <v>54</v>
      </c>
      <c r="DU5" s="120" t="s">
        <v>71</v>
      </c>
      <c r="DV5" s="120" t="s">
        <v>52</v>
      </c>
      <c r="DW5" s="120" t="s">
        <v>46</v>
      </c>
      <c r="DX5" s="120" t="s">
        <v>59</v>
      </c>
      <c r="DY5" s="120" t="s">
        <v>45</v>
      </c>
      <c r="DZ5" s="120" t="s">
        <v>327</v>
      </c>
      <c r="EA5" s="120" t="s">
        <v>44</v>
      </c>
      <c r="EB5" s="120" t="s">
        <v>49</v>
      </c>
      <c r="EC5" s="120" t="s">
        <v>46</v>
      </c>
      <c r="ED5" s="120" t="s">
        <v>61</v>
      </c>
      <c r="EE5" s="120" t="s">
        <v>52</v>
      </c>
      <c r="EF5" s="120" t="s">
        <v>39</v>
      </c>
      <c r="EG5" s="120" t="s">
        <v>68</v>
      </c>
      <c r="EH5" s="120" t="s">
        <v>56</v>
      </c>
      <c r="EI5" s="120" t="s">
        <v>40</v>
      </c>
      <c r="EJ5" s="120" t="s">
        <v>43</v>
      </c>
      <c r="EK5" s="120" t="s">
        <v>42</v>
      </c>
      <c r="EL5" s="120" t="s">
        <v>45</v>
      </c>
      <c r="EM5" s="120" t="s">
        <v>42</v>
      </c>
      <c r="EN5" s="120" t="s">
        <v>54</v>
      </c>
      <c r="EO5" s="120" t="s">
        <v>64</v>
      </c>
      <c r="EP5" s="120" t="s">
        <v>75</v>
      </c>
      <c r="EQ5" s="120" t="s">
        <v>55</v>
      </c>
      <c r="ER5" s="120" t="s">
        <v>52</v>
      </c>
      <c r="ES5" s="120" t="s">
        <v>44</v>
      </c>
      <c r="ET5" s="120" t="s">
        <v>46</v>
      </c>
      <c r="EU5" s="120" t="s">
        <v>49</v>
      </c>
      <c r="EV5" s="120" t="s">
        <v>40</v>
      </c>
      <c r="EW5" s="120" t="s">
        <v>55</v>
      </c>
      <c r="EX5" s="120" t="s">
        <v>39</v>
      </c>
      <c r="EY5" s="120" t="s">
        <v>45</v>
      </c>
      <c r="EZ5" s="120" t="s">
        <v>338</v>
      </c>
      <c r="FA5" s="120" t="s">
        <v>339</v>
      </c>
      <c r="FB5" s="120" t="s">
        <v>52</v>
      </c>
    </row>
    <row r="6" ht="22.5" customHeight="1">
      <c r="A6" s="121">
        <v>45915.47887953704</v>
      </c>
      <c r="B6" s="120" t="s">
        <v>340</v>
      </c>
      <c r="C6" s="120" t="s">
        <v>9</v>
      </c>
      <c r="D6" s="120" t="s">
        <v>63</v>
      </c>
      <c r="E6" s="120" t="s">
        <v>39</v>
      </c>
      <c r="F6" s="120" t="s">
        <v>40</v>
      </c>
      <c r="G6" s="120" t="s">
        <v>70</v>
      </c>
      <c r="H6" s="120" t="s">
        <v>71</v>
      </c>
      <c r="I6" s="120" t="s">
        <v>42</v>
      </c>
      <c r="J6" s="120" t="s">
        <v>74</v>
      </c>
      <c r="K6" s="120" t="s">
        <v>327</v>
      </c>
      <c r="L6" s="120" t="s">
        <v>44</v>
      </c>
      <c r="M6" s="120" t="s">
        <v>45</v>
      </c>
      <c r="N6" s="120" t="s">
        <v>46</v>
      </c>
      <c r="O6" s="120" t="s">
        <v>42</v>
      </c>
      <c r="P6" s="120" t="s">
        <v>48</v>
      </c>
      <c r="Q6" s="120" t="s">
        <v>68</v>
      </c>
      <c r="R6" s="120" t="s">
        <v>49</v>
      </c>
      <c r="S6" s="120" t="s">
        <v>50</v>
      </c>
      <c r="T6" s="120" t="s">
        <v>51</v>
      </c>
      <c r="U6" s="120" t="s">
        <v>52</v>
      </c>
      <c r="V6" s="120" t="s">
        <v>54</v>
      </c>
      <c r="W6" s="120" t="s">
        <v>40</v>
      </c>
      <c r="X6" s="120" t="s">
        <v>47</v>
      </c>
      <c r="Y6" s="120" t="s">
        <v>55</v>
      </c>
      <c r="Z6" s="120" t="s">
        <v>56</v>
      </c>
      <c r="AA6" s="120" t="s">
        <v>43</v>
      </c>
      <c r="AB6" s="120" t="s">
        <v>57</v>
      </c>
      <c r="AC6" s="120" t="s">
        <v>46</v>
      </c>
      <c r="AD6" s="120" t="s">
        <v>45</v>
      </c>
      <c r="AE6" s="120" t="s">
        <v>59</v>
      </c>
      <c r="AF6" s="120" t="s">
        <v>42</v>
      </c>
      <c r="AG6" s="120" t="s">
        <v>39</v>
      </c>
      <c r="AH6" s="120" t="s">
        <v>68</v>
      </c>
      <c r="AI6" s="120" t="s">
        <v>71</v>
      </c>
      <c r="AJ6" s="120" t="s">
        <v>60</v>
      </c>
      <c r="AK6" s="120" t="s">
        <v>49</v>
      </c>
      <c r="AL6" s="120" t="s">
        <v>61</v>
      </c>
      <c r="AM6" s="120" t="s">
        <v>52</v>
      </c>
      <c r="AN6" s="120" t="s">
        <v>52</v>
      </c>
      <c r="AO6" s="120" t="s">
        <v>328</v>
      </c>
      <c r="AP6" s="120" t="s">
        <v>39</v>
      </c>
      <c r="AQ6" s="120" t="s">
        <v>44</v>
      </c>
      <c r="AR6" s="120" t="s">
        <v>42</v>
      </c>
      <c r="AS6" s="120" t="s">
        <v>63</v>
      </c>
      <c r="AT6" s="120" t="s">
        <v>61</v>
      </c>
      <c r="AU6" s="120" t="s">
        <v>47</v>
      </c>
      <c r="AV6" s="120" t="s">
        <v>59</v>
      </c>
      <c r="AW6" s="120" t="s">
        <v>58</v>
      </c>
      <c r="AX6" s="120" t="s">
        <v>64</v>
      </c>
      <c r="AY6" s="120" t="s">
        <v>55</v>
      </c>
      <c r="AZ6" s="120" t="s">
        <v>54</v>
      </c>
      <c r="BA6" s="120" t="s">
        <v>46</v>
      </c>
      <c r="BB6" s="120" t="s">
        <v>51</v>
      </c>
      <c r="BC6" s="120" t="s">
        <v>66</v>
      </c>
      <c r="BD6" s="120" t="s">
        <v>40</v>
      </c>
      <c r="BE6" s="120" t="s">
        <v>45</v>
      </c>
      <c r="BF6" s="120" t="s">
        <v>60</v>
      </c>
      <c r="BG6" s="120" t="s">
        <v>39</v>
      </c>
      <c r="BH6" s="120" t="s">
        <v>44</v>
      </c>
      <c r="BI6" s="120" t="s">
        <v>46</v>
      </c>
      <c r="BJ6" s="120" t="s">
        <v>56</v>
      </c>
      <c r="BK6" s="120" t="s">
        <v>71</v>
      </c>
      <c r="BL6" s="120" t="s">
        <v>43</v>
      </c>
      <c r="BM6" s="120" t="s">
        <v>74</v>
      </c>
      <c r="BN6" s="120" t="s">
        <v>66</v>
      </c>
      <c r="BO6" s="120" t="s">
        <v>55</v>
      </c>
      <c r="BP6" s="120" t="s">
        <v>326</v>
      </c>
      <c r="BQ6" s="120" t="s">
        <v>49</v>
      </c>
      <c r="BR6" s="120" t="s">
        <v>47</v>
      </c>
      <c r="BS6" s="120" t="s">
        <v>42</v>
      </c>
      <c r="BT6" s="120" t="s">
        <v>52</v>
      </c>
      <c r="BU6" s="120" t="s">
        <v>75</v>
      </c>
      <c r="BV6" s="120" t="s">
        <v>54</v>
      </c>
      <c r="BW6" s="120" t="s">
        <v>59</v>
      </c>
      <c r="BX6" s="120" t="s">
        <v>75</v>
      </c>
      <c r="BY6" s="120" t="s">
        <v>58</v>
      </c>
      <c r="BZ6" s="120" t="s">
        <v>49</v>
      </c>
      <c r="CA6" s="120" t="s">
        <v>55</v>
      </c>
      <c r="CB6" s="120" t="s">
        <v>61</v>
      </c>
      <c r="CC6" s="120" t="s">
        <v>60</v>
      </c>
      <c r="CD6" s="120" t="s">
        <v>327</v>
      </c>
      <c r="CE6" s="120" t="s">
        <v>71</v>
      </c>
      <c r="CF6" s="120" t="s">
        <v>42</v>
      </c>
      <c r="CG6" s="120" t="s">
        <v>72</v>
      </c>
      <c r="CH6" s="120" t="s">
        <v>66</v>
      </c>
      <c r="CI6" s="120" t="s">
        <v>44</v>
      </c>
      <c r="CJ6" s="120" t="s">
        <v>46</v>
      </c>
      <c r="CK6" s="120" t="s">
        <v>42</v>
      </c>
      <c r="CL6" s="120" t="s">
        <v>42</v>
      </c>
      <c r="CM6" s="120" t="s">
        <v>50</v>
      </c>
      <c r="CN6" s="120" t="s">
        <v>51</v>
      </c>
      <c r="CO6" s="120" t="s">
        <v>40</v>
      </c>
      <c r="CP6" s="120" t="s">
        <v>74</v>
      </c>
      <c r="CQ6" s="120" t="s">
        <v>45</v>
      </c>
      <c r="CR6" s="120" t="s">
        <v>46</v>
      </c>
      <c r="CS6" s="120" t="s">
        <v>52</v>
      </c>
      <c r="CT6" s="120" t="s">
        <v>54</v>
      </c>
      <c r="CU6" s="120" t="s">
        <v>43</v>
      </c>
      <c r="CV6" s="120" t="s">
        <v>42</v>
      </c>
      <c r="CW6" s="120" t="s">
        <v>66</v>
      </c>
      <c r="CX6" s="120" t="s">
        <v>57</v>
      </c>
      <c r="CY6" s="120" t="s">
        <v>326</v>
      </c>
      <c r="CZ6" s="120" t="s">
        <v>75</v>
      </c>
      <c r="DA6" s="120" t="s">
        <v>61</v>
      </c>
      <c r="DB6" s="120" t="s">
        <v>68</v>
      </c>
      <c r="DC6" s="120" t="s">
        <v>70</v>
      </c>
      <c r="DD6" s="120" t="s">
        <v>71</v>
      </c>
      <c r="DE6" s="120" t="s">
        <v>39</v>
      </c>
      <c r="DF6" s="120" t="s">
        <v>44</v>
      </c>
      <c r="DG6" s="120" t="s">
        <v>40</v>
      </c>
      <c r="DH6" s="120" t="s">
        <v>328</v>
      </c>
      <c r="DI6" s="120" t="s">
        <v>49</v>
      </c>
      <c r="DJ6" s="120" t="s">
        <v>40</v>
      </c>
      <c r="DK6" s="120" t="s">
        <v>47</v>
      </c>
      <c r="DL6" s="120" t="s">
        <v>326</v>
      </c>
      <c r="DM6" s="120" t="s">
        <v>43</v>
      </c>
      <c r="DN6" s="120" t="s">
        <v>44</v>
      </c>
      <c r="DO6" s="120" t="s">
        <v>68</v>
      </c>
      <c r="DP6" s="120" t="s">
        <v>72</v>
      </c>
      <c r="DQ6" s="120" t="s">
        <v>58</v>
      </c>
      <c r="DR6" s="120" t="s">
        <v>50</v>
      </c>
      <c r="DS6" s="120" t="s">
        <v>55</v>
      </c>
      <c r="DT6" s="120" t="s">
        <v>54</v>
      </c>
      <c r="DU6" s="120" t="s">
        <v>71</v>
      </c>
      <c r="DV6" s="120" t="s">
        <v>52</v>
      </c>
      <c r="DW6" s="120" t="s">
        <v>46</v>
      </c>
      <c r="DX6" s="120" t="s">
        <v>59</v>
      </c>
      <c r="DY6" s="120" t="s">
        <v>45</v>
      </c>
      <c r="DZ6" s="120" t="s">
        <v>327</v>
      </c>
      <c r="EA6" s="120" t="s">
        <v>44</v>
      </c>
      <c r="EB6" s="120" t="s">
        <v>49</v>
      </c>
      <c r="EC6" s="120" t="s">
        <v>46</v>
      </c>
      <c r="ED6" s="120" t="s">
        <v>61</v>
      </c>
      <c r="EE6" s="120" t="s">
        <v>52</v>
      </c>
      <c r="EF6" s="120" t="s">
        <v>39</v>
      </c>
      <c r="EG6" s="120" t="s">
        <v>68</v>
      </c>
      <c r="EH6" s="120" t="s">
        <v>56</v>
      </c>
      <c r="EI6" s="120" t="s">
        <v>70</v>
      </c>
      <c r="EJ6" s="120" t="s">
        <v>50</v>
      </c>
      <c r="EK6" s="120" t="s">
        <v>48</v>
      </c>
      <c r="EL6" s="120" t="s">
        <v>45</v>
      </c>
      <c r="EM6" s="120" t="s">
        <v>71</v>
      </c>
      <c r="EN6" s="120" t="s">
        <v>54</v>
      </c>
      <c r="EO6" s="120" t="s">
        <v>64</v>
      </c>
      <c r="EP6" s="120" t="s">
        <v>75</v>
      </c>
      <c r="EQ6" s="120" t="s">
        <v>60</v>
      </c>
      <c r="ER6" s="120" t="s">
        <v>44</v>
      </c>
      <c r="ES6" s="120" t="s">
        <v>55</v>
      </c>
      <c r="ET6" s="120" t="s">
        <v>52</v>
      </c>
      <c r="EU6" s="120" t="s">
        <v>46</v>
      </c>
      <c r="EV6" s="120" t="s">
        <v>40</v>
      </c>
      <c r="EW6" s="120" t="s">
        <v>45</v>
      </c>
      <c r="EX6" s="120" t="s">
        <v>71</v>
      </c>
      <c r="EY6" s="120" t="s">
        <v>49</v>
      </c>
      <c r="EZ6" s="120" t="s">
        <v>335</v>
      </c>
      <c r="FA6" s="120" t="s">
        <v>341</v>
      </c>
      <c r="FB6" s="120" t="s">
        <v>44</v>
      </c>
    </row>
    <row r="7" ht="22.5" customHeight="1">
      <c r="A7" s="121">
        <v>45915.4962925</v>
      </c>
      <c r="B7" s="120" t="s">
        <v>342</v>
      </c>
      <c r="C7" s="120" t="s">
        <v>7</v>
      </c>
      <c r="D7" s="120" t="s">
        <v>63</v>
      </c>
      <c r="E7" s="120" t="s">
        <v>39</v>
      </c>
      <c r="F7" s="120" t="s">
        <v>40</v>
      </c>
      <c r="G7" s="120" t="s">
        <v>70</v>
      </c>
      <c r="H7" s="120" t="s">
        <v>71</v>
      </c>
      <c r="I7" s="120" t="s">
        <v>43</v>
      </c>
      <c r="J7" s="120" t="s">
        <v>74</v>
      </c>
      <c r="K7" s="120" t="s">
        <v>327</v>
      </c>
      <c r="L7" s="120" t="s">
        <v>44</v>
      </c>
      <c r="M7" s="120" t="s">
        <v>45</v>
      </c>
      <c r="N7" s="120" t="s">
        <v>46</v>
      </c>
      <c r="O7" s="120" t="s">
        <v>75</v>
      </c>
      <c r="P7" s="120" t="s">
        <v>66</v>
      </c>
      <c r="Q7" s="120" t="s">
        <v>68</v>
      </c>
      <c r="R7" s="120" t="s">
        <v>49</v>
      </c>
      <c r="S7" s="120" t="s">
        <v>50</v>
      </c>
      <c r="T7" s="120" t="s">
        <v>51</v>
      </c>
      <c r="U7" s="120" t="s">
        <v>52</v>
      </c>
      <c r="V7" s="120" t="s">
        <v>54</v>
      </c>
      <c r="W7" s="120" t="s">
        <v>40</v>
      </c>
      <c r="X7" s="120" t="s">
        <v>47</v>
      </c>
      <c r="Y7" s="120" t="s">
        <v>55</v>
      </c>
      <c r="Z7" s="120" t="s">
        <v>56</v>
      </c>
      <c r="AA7" s="120" t="s">
        <v>43</v>
      </c>
      <c r="AB7" s="120" t="s">
        <v>75</v>
      </c>
      <c r="AC7" s="120" t="s">
        <v>46</v>
      </c>
      <c r="AD7" s="120" t="s">
        <v>45</v>
      </c>
      <c r="AE7" s="120" t="s">
        <v>59</v>
      </c>
      <c r="AF7" s="120" t="s">
        <v>41</v>
      </c>
      <c r="AG7" s="120" t="s">
        <v>39</v>
      </c>
      <c r="AH7" s="120" t="s">
        <v>68</v>
      </c>
      <c r="AI7" s="120" t="s">
        <v>326</v>
      </c>
      <c r="AJ7" s="120" t="s">
        <v>60</v>
      </c>
      <c r="AK7" s="120" t="s">
        <v>49</v>
      </c>
      <c r="AL7" s="120" t="s">
        <v>61</v>
      </c>
      <c r="AM7" s="120" t="s">
        <v>52</v>
      </c>
      <c r="AN7" s="120" t="s">
        <v>52</v>
      </c>
      <c r="AO7" s="120" t="s">
        <v>328</v>
      </c>
      <c r="AP7" s="120" t="s">
        <v>39</v>
      </c>
      <c r="AQ7" s="120" t="s">
        <v>68</v>
      </c>
      <c r="AR7" s="120" t="s">
        <v>326</v>
      </c>
      <c r="AS7" s="120" t="s">
        <v>63</v>
      </c>
      <c r="AT7" s="120" t="s">
        <v>61</v>
      </c>
      <c r="AU7" s="120" t="s">
        <v>47</v>
      </c>
      <c r="AV7" s="120" t="s">
        <v>59</v>
      </c>
      <c r="AW7" s="120" t="s">
        <v>58</v>
      </c>
      <c r="AX7" s="120" t="s">
        <v>64</v>
      </c>
      <c r="AY7" s="120" t="s">
        <v>55</v>
      </c>
      <c r="AZ7" s="120" t="s">
        <v>54</v>
      </c>
      <c r="BA7" s="120" t="s">
        <v>46</v>
      </c>
      <c r="BB7" s="120" t="s">
        <v>51</v>
      </c>
      <c r="BC7" s="120" t="s">
        <v>43</v>
      </c>
      <c r="BD7" s="120" t="s">
        <v>40</v>
      </c>
      <c r="BE7" s="120" t="s">
        <v>45</v>
      </c>
      <c r="BF7" s="120" t="s">
        <v>60</v>
      </c>
      <c r="BG7" s="120" t="s">
        <v>39</v>
      </c>
      <c r="BH7" s="120" t="s">
        <v>45</v>
      </c>
      <c r="BI7" s="120" t="s">
        <v>40</v>
      </c>
      <c r="BJ7" s="120" t="s">
        <v>56</v>
      </c>
      <c r="BK7" s="120" t="s">
        <v>71</v>
      </c>
      <c r="BL7" s="120" t="s">
        <v>43</v>
      </c>
      <c r="BM7" s="120" t="s">
        <v>74</v>
      </c>
      <c r="BN7" s="120" t="s">
        <v>66</v>
      </c>
      <c r="BO7" s="120" t="s">
        <v>55</v>
      </c>
      <c r="BP7" s="120" t="s">
        <v>326</v>
      </c>
      <c r="BQ7" s="120" t="s">
        <v>61</v>
      </c>
      <c r="BR7" s="120" t="s">
        <v>47</v>
      </c>
      <c r="BS7" s="120" t="s">
        <v>70</v>
      </c>
      <c r="BT7" s="120" t="s">
        <v>52</v>
      </c>
      <c r="BU7" s="120" t="s">
        <v>75</v>
      </c>
      <c r="BV7" s="120" t="s">
        <v>57</v>
      </c>
      <c r="BW7" s="120" t="s">
        <v>59</v>
      </c>
      <c r="BX7" s="120" t="s">
        <v>75</v>
      </c>
      <c r="BY7" s="120" t="s">
        <v>58</v>
      </c>
      <c r="BZ7" s="120" t="s">
        <v>49</v>
      </c>
      <c r="CA7" s="120" t="s">
        <v>55</v>
      </c>
      <c r="CB7" s="120" t="s">
        <v>61</v>
      </c>
      <c r="CC7" s="120" t="s">
        <v>60</v>
      </c>
      <c r="CD7" s="120" t="s">
        <v>327</v>
      </c>
      <c r="CE7" s="120" t="s">
        <v>71</v>
      </c>
      <c r="CF7" s="120" t="s">
        <v>59</v>
      </c>
      <c r="CG7" s="120" t="s">
        <v>328</v>
      </c>
      <c r="CH7" s="120" t="s">
        <v>66</v>
      </c>
      <c r="CI7" s="120" t="s">
        <v>44</v>
      </c>
      <c r="CJ7" s="120" t="s">
        <v>46</v>
      </c>
      <c r="CK7" s="120" t="s">
        <v>39</v>
      </c>
      <c r="CL7" s="120" t="s">
        <v>56</v>
      </c>
      <c r="CM7" s="120" t="s">
        <v>50</v>
      </c>
      <c r="CN7" s="120" t="s">
        <v>51</v>
      </c>
      <c r="CO7" s="120" t="s">
        <v>40</v>
      </c>
      <c r="CP7" s="120" t="s">
        <v>74</v>
      </c>
      <c r="CQ7" s="120" t="s">
        <v>45</v>
      </c>
      <c r="CR7" s="120" t="s">
        <v>46</v>
      </c>
      <c r="CS7" s="120" t="s">
        <v>52</v>
      </c>
      <c r="CT7" s="120" t="s">
        <v>55</v>
      </c>
      <c r="CU7" s="120" t="s">
        <v>43</v>
      </c>
      <c r="CV7" s="120" t="s">
        <v>56</v>
      </c>
      <c r="CW7" s="120" t="s">
        <v>66</v>
      </c>
      <c r="CX7" s="120" t="s">
        <v>38</v>
      </c>
      <c r="CY7" s="120" t="s">
        <v>326</v>
      </c>
      <c r="CZ7" s="120" t="s">
        <v>41</v>
      </c>
      <c r="DA7" s="120" t="s">
        <v>61</v>
      </c>
      <c r="DB7" s="120" t="s">
        <v>68</v>
      </c>
      <c r="DC7" s="120" t="s">
        <v>70</v>
      </c>
      <c r="DD7" s="120" t="s">
        <v>71</v>
      </c>
      <c r="DE7" s="120" t="s">
        <v>39</v>
      </c>
      <c r="DF7" s="120" t="s">
        <v>44</v>
      </c>
      <c r="DG7" s="120" t="s">
        <v>40</v>
      </c>
      <c r="DH7" s="120" t="s">
        <v>328</v>
      </c>
      <c r="DI7" s="120" t="s">
        <v>49</v>
      </c>
      <c r="DJ7" s="120" t="s">
        <v>40</v>
      </c>
      <c r="DK7" s="120" t="s">
        <v>39</v>
      </c>
      <c r="DL7" s="120" t="s">
        <v>326</v>
      </c>
      <c r="DM7" s="120" t="s">
        <v>43</v>
      </c>
      <c r="DN7" s="120" t="s">
        <v>44</v>
      </c>
      <c r="DO7" s="120" t="s">
        <v>74</v>
      </c>
      <c r="DP7" s="120" t="s">
        <v>60</v>
      </c>
      <c r="DQ7" s="120" t="s">
        <v>56</v>
      </c>
      <c r="DR7" s="120" t="s">
        <v>50</v>
      </c>
      <c r="DS7" s="120" t="s">
        <v>55</v>
      </c>
      <c r="DT7" s="120" t="s">
        <v>54</v>
      </c>
      <c r="DU7" s="120" t="s">
        <v>71</v>
      </c>
      <c r="DV7" s="120" t="s">
        <v>52</v>
      </c>
      <c r="DW7" s="120" t="s">
        <v>46</v>
      </c>
      <c r="DX7" s="120" t="s">
        <v>59</v>
      </c>
      <c r="DY7" s="120" t="s">
        <v>45</v>
      </c>
      <c r="DZ7" s="120" t="s">
        <v>67</v>
      </c>
      <c r="EA7" s="120" t="s">
        <v>44</v>
      </c>
      <c r="EB7" s="120" t="s">
        <v>49</v>
      </c>
      <c r="EC7" s="120" t="s">
        <v>46</v>
      </c>
      <c r="ED7" s="120" t="s">
        <v>61</v>
      </c>
      <c r="EE7" s="120" t="s">
        <v>52</v>
      </c>
      <c r="EF7" s="120" t="s">
        <v>39</v>
      </c>
      <c r="EG7" s="120" t="s">
        <v>68</v>
      </c>
      <c r="EH7" s="120" t="s">
        <v>56</v>
      </c>
      <c r="EI7" s="120" t="s">
        <v>40</v>
      </c>
      <c r="EJ7" s="120" t="s">
        <v>43</v>
      </c>
      <c r="EK7" s="120" t="s">
        <v>57</v>
      </c>
      <c r="EL7" s="120" t="s">
        <v>45</v>
      </c>
      <c r="EM7" s="120" t="s">
        <v>66</v>
      </c>
      <c r="EN7" s="120" t="s">
        <v>54</v>
      </c>
      <c r="EO7" s="120" t="s">
        <v>51</v>
      </c>
      <c r="EP7" s="120" t="s">
        <v>75</v>
      </c>
      <c r="EQ7" s="120" t="s">
        <v>55</v>
      </c>
      <c r="ER7" s="120" t="s">
        <v>55</v>
      </c>
      <c r="ES7" s="120" t="s">
        <v>52</v>
      </c>
      <c r="ET7" s="120" t="s">
        <v>40</v>
      </c>
      <c r="EU7" s="120" t="s">
        <v>45</v>
      </c>
      <c r="EV7" s="120" t="s">
        <v>46</v>
      </c>
      <c r="EW7" s="120" t="s">
        <v>39</v>
      </c>
      <c r="EX7" s="120" t="s">
        <v>44</v>
      </c>
      <c r="EY7" s="120" t="s">
        <v>47</v>
      </c>
      <c r="EZ7" s="120" t="s">
        <v>338</v>
      </c>
      <c r="FA7" s="120" t="s">
        <v>339</v>
      </c>
      <c r="FB7" s="120" t="s">
        <v>52</v>
      </c>
    </row>
    <row r="8" ht="22.5" customHeight="1">
      <c r="A8" s="121">
        <v>45915.530490624995</v>
      </c>
      <c r="B8" s="120" t="s">
        <v>343</v>
      </c>
      <c r="C8" s="120" t="s">
        <v>5</v>
      </c>
      <c r="D8" s="120" t="s">
        <v>63</v>
      </c>
      <c r="E8" s="120" t="s">
        <v>39</v>
      </c>
      <c r="F8" s="120" t="s">
        <v>40</v>
      </c>
      <c r="G8" s="120" t="s">
        <v>70</v>
      </c>
      <c r="H8" s="120" t="s">
        <v>71</v>
      </c>
      <c r="I8" s="120" t="s">
        <v>43</v>
      </c>
      <c r="J8" s="120" t="s">
        <v>74</v>
      </c>
      <c r="K8" s="120" t="s">
        <v>327</v>
      </c>
      <c r="L8" s="120" t="s">
        <v>44</v>
      </c>
      <c r="M8" s="120" t="s">
        <v>42</v>
      </c>
      <c r="N8" s="120" t="s">
        <v>46</v>
      </c>
      <c r="O8" s="120" t="s">
        <v>47</v>
      </c>
      <c r="P8" s="120" t="s">
        <v>42</v>
      </c>
      <c r="Q8" s="120" t="s">
        <v>42</v>
      </c>
      <c r="R8" s="120" t="s">
        <v>49</v>
      </c>
      <c r="S8" s="120" t="s">
        <v>58</v>
      </c>
      <c r="T8" s="120" t="s">
        <v>51</v>
      </c>
      <c r="U8" s="120" t="s">
        <v>52</v>
      </c>
      <c r="V8" s="120" t="s">
        <v>54</v>
      </c>
      <c r="W8" s="120" t="s">
        <v>40</v>
      </c>
      <c r="X8" s="120" t="s">
        <v>47</v>
      </c>
      <c r="Y8" s="120" t="s">
        <v>55</v>
      </c>
      <c r="Z8" s="120" t="s">
        <v>56</v>
      </c>
      <c r="AA8" s="120" t="s">
        <v>43</v>
      </c>
      <c r="AB8" s="120" t="s">
        <v>57</v>
      </c>
      <c r="AC8" s="120" t="s">
        <v>46</v>
      </c>
      <c r="AD8" s="120" t="s">
        <v>45</v>
      </c>
      <c r="AE8" s="120" t="s">
        <v>59</v>
      </c>
      <c r="AF8" s="120" t="s">
        <v>72</v>
      </c>
      <c r="AG8" s="120" t="s">
        <v>39</v>
      </c>
      <c r="AH8" s="120" t="s">
        <v>68</v>
      </c>
      <c r="AI8" s="120" t="s">
        <v>71</v>
      </c>
      <c r="AJ8" s="120" t="s">
        <v>51</v>
      </c>
      <c r="AK8" s="120" t="s">
        <v>49</v>
      </c>
      <c r="AL8" s="120" t="s">
        <v>61</v>
      </c>
      <c r="AM8" s="120" t="s">
        <v>52</v>
      </c>
      <c r="AN8" s="120" t="s">
        <v>52</v>
      </c>
      <c r="AO8" s="120" t="s">
        <v>328</v>
      </c>
      <c r="AP8" s="120" t="s">
        <v>39</v>
      </c>
      <c r="AQ8" s="120" t="s">
        <v>44</v>
      </c>
      <c r="AR8" s="120" t="s">
        <v>49</v>
      </c>
      <c r="AS8" s="120" t="s">
        <v>42</v>
      </c>
      <c r="AT8" s="120" t="s">
        <v>61</v>
      </c>
      <c r="AU8" s="120" t="s">
        <v>47</v>
      </c>
      <c r="AV8" s="120" t="s">
        <v>59</v>
      </c>
      <c r="AW8" s="120" t="s">
        <v>58</v>
      </c>
      <c r="AX8" s="120" t="s">
        <v>64</v>
      </c>
      <c r="AY8" s="120" t="s">
        <v>55</v>
      </c>
      <c r="AZ8" s="120" t="s">
        <v>54</v>
      </c>
      <c r="BA8" s="120" t="s">
        <v>46</v>
      </c>
      <c r="BB8" s="120" t="s">
        <v>51</v>
      </c>
      <c r="BC8" s="120" t="s">
        <v>43</v>
      </c>
      <c r="BD8" s="120" t="s">
        <v>40</v>
      </c>
      <c r="BE8" s="120" t="s">
        <v>45</v>
      </c>
      <c r="BF8" s="120" t="s">
        <v>60</v>
      </c>
      <c r="BG8" s="120" t="s">
        <v>39</v>
      </c>
      <c r="BH8" s="120" t="s">
        <v>44</v>
      </c>
      <c r="BI8" s="120" t="s">
        <v>42</v>
      </c>
      <c r="BJ8" s="120" t="s">
        <v>56</v>
      </c>
      <c r="BK8" s="120" t="s">
        <v>71</v>
      </c>
      <c r="BL8" s="120" t="s">
        <v>43</v>
      </c>
      <c r="BM8" s="120" t="s">
        <v>63</v>
      </c>
      <c r="BN8" s="120" t="s">
        <v>66</v>
      </c>
      <c r="BO8" s="120" t="s">
        <v>55</v>
      </c>
      <c r="BP8" s="120" t="s">
        <v>326</v>
      </c>
      <c r="BQ8" s="120" t="s">
        <v>49</v>
      </c>
      <c r="BR8" s="120" t="s">
        <v>47</v>
      </c>
      <c r="BS8" s="120" t="s">
        <v>42</v>
      </c>
      <c r="BT8" s="120" t="s">
        <v>52</v>
      </c>
      <c r="BU8" s="120" t="s">
        <v>75</v>
      </c>
      <c r="BV8" s="120" t="s">
        <v>57</v>
      </c>
      <c r="BW8" s="120" t="s">
        <v>59</v>
      </c>
      <c r="BX8" s="120" t="s">
        <v>70</v>
      </c>
      <c r="BY8" s="120" t="s">
        <v>58</v>
      </c>
      <c r="BZ8" s="120" t="s">
        <v>49</v>
      </c>
      <c r="CA8" s="120" t="s">
        <v>52</v>
      </c>
      <c r="CB8" s="120" t="s">
        <v>61</v>
      </c>
      <c r="CC8" s="120" t="s">
        <v>60</v>
      </c>
      <c r="CD8" s="120" t="s">
        <v>64</v>
      </c>
      <c r="CE8" s="120" t="s">
        <v>71</v>
      </c>
      <c r="CF8" s="120" t="s">
        <v>57</v>
      </c>
      <c r="CG8" s="120" t="s">
        <v>72</v>
      </c>
      <c r="CH8" s="120" t="s">
        <v>66</v>
      </c>
      <c r="CI8" s="120" t="s">
        <v>42</v>
      </c>
      <c r="CJ8" s="120" t="s">
        <v>46</v>
      </c>
      <c r="CK8" s="120" t="s">
        <v>45</v>
      </c>
      <c r="CL8" s="120" t="s">
        <v>56</v>
      </c>
      <c r="CM8" s="120" t="s">
        <v>54</v>
      </c>
      <c r="CN8" s="120" t="s">
        <v>51</v>
      </c>
      <c r="CO8" s="120" t="s">
        <v>40</v>
      </c>
      <c r="CP8" s="120" t="s">
        <v>74</v>
      </c>
      <c r="CQ8" s="120" t="s">
        <v>45</v>
      </c>
      <c r="CR8" s="120" t="s">
        <v>46</v>
      </c>
      <c r="CS8" s="120" t="s">
        <v>52</v>
      </c>
      <c r="CT8" s="120" t="s">
        <v>55</v>
      </c>
      <c r="CU8" s="120" t="s">
        <v>43</v>
      </c>
      <c r="CV8" s="120" t="s">
        <v>56</v>
      </c>
      <c r="CW8" s="120" t="s">
        <v>66</v>
      </c>
      <c r="CX8" s="120" t="s">
        <v>42</v>
      </c>
      <c r="CY8" s="120" t="s">
        <v>42</v>
      </c>
      <c r="CZ8" s="120" t="s">
        <v>75</v>
      </c>
      <c r="DA8" s="120" t="s">
        <v>61</v>
      </c>
      <c r="DB8" s="120" t="s">
        <v>68</v>
      </c>
      <c r="DC8" s="120" t="s">
        <v>70</v>
      </c>
      <c r="DD8" s="120" t="s">
        <v>71</v>
      </c>
      <c r="DE8" s="120" t="s">
        <v>39</v>
      </c>
      <c r="DF8" s="120" t="s">
        <v>44</v>
      </c>
      <c r="DG8" s="120" t="s">
        <v>40</v>
      </c>
      <c r="DH8" s="120" t="s">
        <v>48</v>
      </c>
      <c r="DI8" s="120" t="s">
        <v>49</v>
      </c>
      <c r="DJ8" s="120" t="s">
        <v>40</v>
      </c>
      <c r="DK8" s="120" t="s">
        <v>39</v>
      </c>
      <c r="DL8" s="120" t="s">
        <v>75</v>
      </c>
      <c r="DM8" s="120" t="s">
        <v>43</v>
      </c>
      <c r="DN8" s="120" t="s">
        <v>44</v>
      </c>
      <c r="DO8" s="120" t="s">
        <v>68</v>
      </c>
      <c r="DP8" s="120" t="s">
        <v>42</v>
      </c>
      <c r="DQ8" s="120" t="s">
        <v>56</v>
      </c>
      <c r="DR8" s="120" t="s">
        <v>50</v>
      </c>
      <c r="DS8" s="120" t="s">
        <v>55</v>
      </c>
      <c r="DT8" s="120" t="s">
        <v>54</v>
      </c>
      <c r="DU8" s="120" t="s">
        <v>71</v>
      </c>
      <c r="DV8" s="120" t="s">
        <v>52</v>
      </c>
      <c r="DW8" s="120" t="s">
        <v>46</v>
      </c>
      <c r="DX8" s="120" t="s">
        <v>59</v>
      </c>
      <c r="DY8" s="120" t="s">
        <v>45</v>
      </c>
      <c r="DZ8" s="120" t="s">
        <v>67</v>
      </c>
      <c r="EA8" s="120" t="s">
        <v>44</v>
      </c>
      <c r="EB8" s="120" t="s">
        <v>49</v>
      </c>
      <c r="EC8" s="120" t="s">
        <v>46</v>
      </c>
      <c r="ED8" s="120" t="s">
        <v>61</v>
      </c>
      <c r="EE8" s="120" t="s">
        <v>52</v>
      </c>
      <c r="EF8" s="120" t="s">
        <v>39</v>
      </c>
      <c r="EG8" s="120" t="s">
        <v>68</v>
      </c>
      <c r="EH8" s="120" t="s">
        <v>56</v>
      </c>
      <c r="EI8" s="120" t="s">
        <v>40</v>
      </c>
      <c r="EJ8" s="120" t="s">
        <v>43</v>
      </c>
      <c r="EK8" s="120" t="s">
        <v>57</v>
      </c>
      <c r="EL8" s="120" t="s">
        <v>45</v>
      </c>
      <c r="EM8" s="120" t="s">
        <v>71</v>
      </c>
      <c r="EN8" s="120" t="s">
        <v>54</v>
      </c>
      <c r="EO8" s="120" t="s">
        <v>64</v>
      </c>
      <c r="EP8" s="120" t="s">
        <v>75</v>
      </c>
      <c r="EQ8" s="120" t="s">
        <v>55</v>
      </c>
      <c r="ER8" s="120" t="s">
        <v>46</v>
      </c>
      <c r="ES8" s="120" t="s">
        <v>44</v>
      </c>
      <c r="ET8" s="120" t="s">
        <v>40</v>
      </c>
      <c r="EU8" s="120" t="s">
        <v>52</v>
      </c>
      <c r="EV8" s="120" t="s">
        <v>49</v>
      </c>
      <c r="EW8" s="120" t="s">
        <v>45</v>
      </c>
      <c r="EX8" s="120" t="s">
        <v>55</v>
      </c>
      <c r="EY8" s="120" t="s">
        <v>56</v>
      </c>
      <c r="EZ8" s="120" t="s">
        <v>344</v>
      </c>
      <c r="FA8" s="120" t="s">
        <v>330</v>
      </c>
      <c r="FB8" s="120" t="s">
        <v>46</v>
      </c>
    </row>
    <row r="9" ht="22.5" customHeight="1">
      <c r="A9" s="121">
        <v>45915.58060181713</v>
      </c>
      <c r="B9" s="120" t="s">
        <v>345</v>
      </c>
      <c r="C9" s="120" t="s">
        <v>6</v>
      </c>
      <c r="D9" s="120" t="s">
        <v>63</v>
      </c>
      <c r="E9" s="120" t="s">
        <v>39</v>
      </c>
      <c r="F9" s="120" t="s">
        <v>40</v>
      </c>
      <c r="G9" s="120" t="s">
        <v>70</v>
      </c>
      <c r="H9" s="120" t="s">
        <v>71</v>
      </c>
      <c r="I9" s="120" t="s">
        <v>43</v>
      </c>
      <c r="J9" s="120" t="s">
        <v>74</v>
      </c>
      <c r="K9" s="120" t="s">
        <v>42</v>
      </c>
      <c r="L9" s="120" t="s">
        <v>44</v>
      </c>
      <c r="M9" s="120" t="s">
        <v>45</v>
      </c>
      <c r="N9" s="120" t="s">
        <v>46</v>
      </c>
      <c r="O9" s="120" t="s">
        <v>42</v>
      </c>
      <c r="P9" s="120" t="s">
        <v>48</v>
      </c>
      <c r="Q9" s="120" t="s">
        <v>68</v>
      </c>
      <c r="R9" s="120" t="s">
        <v>42</v>
      </c>
      <c r="S9" s="120" t="s">
        <v>50</v>
      </c>
      <c r="T9" s="120" t="s">
        <v>51</v>
      </c>
      <c r="U9" s="120" t="s">
        <v>52</v>
      </c>
      <c r="V9" s="120" t="s">
        <v>54</v>
      </c>
      <c r="W9" s="120" t="s">
        <v>40</v>
      </c>
      <c r="X9" s="120" t="s">
        <v>47</v>
      </c>
      <c r="Y9" s="120" t="s">
        <v>55</v>
      </c>
      <c r="Z9" s="120" t="s">
        <v>56</v>
      </c>
      <c r="AA9" s="120" t="s">
        <v>43</v>
      </c>
      <c r="AB9" s="120" t="s">
        <v>57</v>
      </c>
      <c r="AC9" s="120" t="s">
        <v>42</v>
      </c>
      <c r="AD9" s="120" t="s">
        <v>45</v>
      </c>
      <c r="AE9" s="120" t="s">
        <v>59</v>
      </c>
      <c r="AF9" s="120" t="s">
        <v>42</v>
      </c>
      <c r="AG9" s="120" t="s">
        <v>39</v>
      </c>
      <c r="AH9" s="120" t="s">
        <v>68</v>
      </c>
      <c r="AI9" s="120" t="s">
        <v>326</v>
      </c>
      <c r="AJ9" s="120" t="s">
        <v>60</v>
      </c>
      <c r="AK9" s="120" t="s">
        <v>49</v>
      </c>
      <c r="AL9" s="120" t="s">
        <v>61</v>
      </c>
      <c r="AM9" s="120" t="s">
        <v>52</v>
      </c>
      <c r="AN9" s="120" t="s">
        <v>52</v>
      </c>
      <c r="AO9" s="120" t="s">
        <v>42</v>
      </c>
      <c r="AP9" s="120" t="s">
        <v>39</v>
      </c>
      <c r="AQ9" s="120" t="s">
        <v>44</v>
      </c>
      <c r="AR9" s="120" t="s">
        <v>49</v>
      </c>
      <c r="AS9" s="120" t="s">
        <v>42</v>
      </c>
      <c r="AT9" s="120" t="s">
        <v>61</v>
      </c>
      <c r="AU9" s="120" t="s">
        <v>47</v>
      </c>
      <c r="AV9" s="120" t="s">
        <v>59</v>
      </c>
      <c r="AW9" s="120" t="s">
        <v>58</v>
      </c>
      <c r="AX9" s="120" t="s">
        <v>64</v>
      </c>
      <c r="AY9" s="120" t="s">
        <v>55</v>
      </c>
      <c r="AZ9" s="120" t="s">
        <v>54</v>
      </c>
      <c r="BA9" s="120" t="s">
        <v>46</v>
      </c>
      <c r="BB9" s="120" t="s">
        <v>42</v>
      </c>
      <c r="BC9" s="120" t="s">
        <v>43</v>
      </c>
      <c r="BD9" s="120" t="s">
        <v>40</v>
      </c>
      <c r="BE9" s="120" t="s">
        <v>45</v>
      </c>
      <c r="BF9" s="120" t="s">
        <v>60</v>
      </c>
      <c r="BG9" s="120" t="s">
        <v>39</v>
      </c>
      <c r="BH9" s="120" t="s">
        <v>44</v>
      </c>
      <c r="BI9" s="120" t="s">
        <v>46</v>
      </c>
      <c r="BJ9" s="120" t="s">
        <v>56</v>
      </c>
      <c r="BK9" s="120" t="s">
        <v>71</v>
      </c>
      <c r="BL9" s="120" t="s">
        <v>43</v>
      </c>
      <c r="BM9" s="120" t="s">
        <v>42</v>
      </c>
      <c r="BN9" s="120" t="s">
        <v>42</v>
      </c>
      <c r="BO9" s="120" t="s">
        <v>55</v>
      </c>
      <c r="BP9" s="120" t="s">
        <v>42</v>
      </c>
      <c r="BQ9" s="120" t="s">
        <v>49</v>
      </c>
      <c r="BR9" s="120" t="s">
        <v>47</v>
      </c>
      <c r="BS9" s="120" t="s">
        <v>70</v>
      </c>
      <c r="BT9" s="120" t="s">
        <v>52</v>
      </c>
      <c r="BU9" s="120" t="s">
        <v>75</v>
      </c>
      <c r="BV9" s="120" t="s">
        <v>42</v>
      </c>
      <c r="BW9" s="120" t="s">
        <v>59</v>
      </c>
      <c r="BX9" s="120" t="s">
        <v>75</v>
      </c>
      <c r="BY9" s="120" t="s">
        <v>58</v>
      </c>
      <c r="BZ9" s="120" t="s">
        <v>49</v>
      </c>
      <c r="CA9" s="120" t="s">
        <v>55</v>
      </c>
      <c r="CB9" s="120" t="s">
        <v>61</v>
      </c>
      <c r="CC9" s="120" t="s">
        <v>60</v>
      </c>
      <c r="CD9" s="120" t="s">
        <v>64</v>
      </c>
      <c r="CE9" s="120" t="s">
        <v>71</v>
      </c>
      <c r="CF9" s="120" t="s">
        <v>42</v>
      </c>
      <c r="CG9" s="120" t="s">
        <v>72</v>
      </c>
      <c r="CH9" s="120" t="s">
        <v>67</v>
      </c>
      <c r="CI9" s="120" t="s">
        <v>44</v>
      </c>
      <c r="CJ9" s="120" t="s">
        <v>46</v>
      </c>
      <c r="CK9" s="120" t="s">
        <v>39</v>
      </c>
      <c r="CL9" s="120" t="s">
        <v>56</v>
      </c>
      <c r="CM9" s="120" t="s">
        <v>54</v>
      </c>
      <c r="CN9" s="120" t="s">
        <v>51</v>
      </c>
      <c r="CO9" s="120" t="s">
        <v>42</v>
      </c>
      <c r="CP9" s="120" t="s">
        <v>328</v>
      </c>
      <c r="CQ9" s="120" t="s">
        <v>45</v>
      </c>
      <c r="CR9" s="120" t="s">
        <v>42</v>
      </c>
      <c r="CS9" s="120" t="s">
        <v>52</v>
      </c>
      <c r="CT9" s="120" t="s">
        <v>42</v>
      </c>
      <c r="CU9" s="120" t="s">
        <v>43</v>
      </c>
      <c r="CV9" s="120" t="s">
        <v>56</v>
      </c>
      <c r="CW9" s="120" t="s">
        <v>66</v>
      </c>
      <c r="CX9" s="120" t="s">
        <v>42</v>
      </c>
      <c r="CY9" s="120" t="s">
        <v>326</v>
      </c>
      <c r="CZ9" s="120" t="s">
        <v>75</v>
      </c>
      <c r="DA9" s="120" t="s">
        <v>61</v>
      </c>
      <c r="DB9" s="120" t="s">
        <v>42</v>
      </c>
      <c r="DC9" s="120" t="s">
        <v>60</v>
      </c>
      <c r="DD9" s="120" t="s">
        <v>71</v>
      </c>
      <c r="DE9" s="120" t="s">
        <v>39</v>
      </c>
      <c r="DF9" s="120" t="s">
        <v>42</v>
      </c>
      <c r="DG9" s="120" t="s">
        <v>40</v>
      </c>
      <c r="DH9" s="120" t="s">
        <v>48</v>
      </c>
      <c r="DI9" s="120" t="s">
        <v>49</v>
      </c>
      <c r="DJ9" s="120" t="s">
        <v>40</v>
      </c>
      <c r="DK9" s="120" t="s">
        <v>47</v>
      </c>
      <c r="DL9" s="120" t="s">
        <v>326</v>
      </c>
      <c r="DM9" s="120" t="s">
        <v>42</v>
      </c>
      <c r="DN9" s="120" t="s">
        <v>44</v>
      </c>
      <c r="DO9" s="120" t="s">
        <v>42</v>
      </c>
      <c r="DP9" s="120" t="s">
        <v>60</v>
      </c>
      <c r="DQ9" s="120" t="s">
        <v>42</v>
      </c>
      <c r="DR9" s="120" t="s">
        <v>50</v>
      </c>
      <c r="DS9" s="120" t="s">
        <v>55</v>
      </c>
      <c r="DT9" s="120" t="s">
        <v>54</v>
      </c>
      <c r="DU9" s="120" t="s">
        <v>71</v>
      </c>
      <c r="DV9" s="120" t="s">
        <v>52</v>
      </c>
      <c r="DW9" s="120" t="s">
        <v>46</v>
      </c>
      <c r="DX9" s="120" t="s">
        <v>59</v>
      </c>
      <c r="DY9" s="120" t="s">
        <v>45</v>
      </c>
      <c r="DZ9" s="120" t="s">
        <v>42</v>
      </c>
      <c r="EA9" s="120" t="s">
        <v>44</v>
      </c>
      <c r="EB9" s="120" t="s">
        <v>49</v>
      </c>
      <c r="EC9" s="120" t="s">
        <v>46</v>
      </c>
      <c r="ED9" s="120" t="s">
        <v>61</v>
      </c>
      <c r="EE9" s="120" t="s">
        <v>52</v>
      </c>
      <c r="EF9" s="120" t="s">
        <v>39</v>
      </c>
      <c r="EG9" s="120" t="s">
        <v>68</v>
      </c>
      <c r="EH9" s="120" t="s">
        <v>56</v>
      </c>
      <c r="EI9" s="120" t="s">
        <v>42</v>
      </c>
      <c r="EJ9" s="120" t="s">
        <v>42</v>
      </c>
      <c r="EK9" s="120" t="s">
        <v>48</v>
      </c>
      <c r="EL9" s="120" t="s">
        <v>45</v>
      </c>
      <c r="EM9" s="120" t="s">
        <v>66</v>
      </c>
      <c r="EN9" s="120" t="s">
        <v>54</v>
      </c>
      <c r="EO9" s="120" t="s">
        <v>64</v>
      </c>
      <c r="EP9" s="120" t="s">
        <v>75</v>
      </c>
      <c r="EQ9" s="120" t="s">
        <v>42</v>
      </c>
      <c r="ER9" s="120" t="s">
        <v>52</v>
      </c>
      <c r="ES9" s="120" t="s">
        <v>44</v>
      </c>
      <c r="ET9" s="120" t="s">
        <v>46</v>
      </c>
      <c r="EU9" s="120" t="s">
        <v>45</v>
      </c>
      <c r="EV9" s="120" t="s">
        <v>40</v>
      </c>
      <c r="EW9" s="120" t="s">
        <v>39</v>
      </c>
      <c r="EX9" s="120" t="s">
        <v>49</v>
      </c>
      <c r="EY9" s="120" t="s">
        <v>56</v>
      </c>
      <c r="EZ9" s="120" t="s">
        <v>330</v>
      </c>
      <c r="FA9" s="120" t="s">
        <v>339</v>
      </c>
      <c r="FB9" s="120" t="s">
        <v>52</v>
      </c>
    </row>
    <row r="10" ht="22.5" customHeight="1">
      <c r="A10" s="121">
        <v>45915.65702834491</v>
      </c>
      <c r="B10" s="120" t="s">
        <v>346</v>
      </c>
      <c r="C10" s="120" t="s">
        <v>8</v>
      </c>
      <c r="D10" s="120" t="s">
        <v>63</v>
      </c>
      <c r="E10" s="120" t="s">
        <v>39</v>
      </c>
      <c r="F10" s="120" t="s">
        <v>40</v>
      </c>
      <c r="G10" s="120" t="s">
        <v>70</v>
      </c>
      <c r="H10" s="120" t="s">
        <v>61</v>
      </c>
      <c r="I10" s="120" t="s">
        <v>43</v>
      </c>
      <c r="J10" s="120" t="s">
        <v>74</v>
      </c>
      <c r="K10" s="120" t="s">
        <v>327</v>
      </c>
      <c r="L10" s="120" t="s">
        <v>44</v>
      </c>
      <c r="M10" s="120" t="s">
        <v>45</v>
      </c>
      <c r="N10" s="120" t="s">
        <v>46</v>
      </c>
      <c r="O10" s="120" t="s">
        <v>47</v>
      </c>
      <c r="P10" s="120" t="s">
        <v>48</v>
      </c>
      <c r="Q10" s="120" t="s">
        <v>68</v>
      </c>
      <c r="R10" s="120" t="s">
        <v>49</v>
      </c>
      <c r="S10" s="120" t="s">
        <v>58</v>
      </c>
      <c r="T10" s="120" t="s">
        <v>51</v>
      </c>
      <c r="U10" s="120" t="s">
        <v>59</v>
      </c>
      <c r="V10" s="120" t="s">
        <v>54</v>
      </c>
      <c r="W10" s="120" t="s">
        <v>40</v>
      </c>
      <c r="X10" s="120" t="s">
        <v>47</v>
      </c>
      <c r="Y10" s="120" t="s">
        <v>55</v>
      </c>
      <c r="Z10" s="120" t="s">
        <v>56</v>
      </c>
      <c r="AA10" s="120" t="s">
        <v>43</v>
      </c>
      <c r="AB10" s="120" t="s">
        <v>57</v>
      </c>
      <c r="AC10" s="120" t="s">
        <v>42</v>
      </c>
      <c r="AD10" s="120" t="s">
        <v>45</v>
      </c>
      <c r="AE10" s="120" t="s">
        <v>59</v>
      </c>
      <c r="AF10" s="120" t="s">
        <v>42</v>
      </c>
      <c r="AG10" s="120" t="s">
        <v>39</v>
      </c>
      <c r="AH10" s="120" t="s">
        <v>68</v>
      </c>
      <c r="AI10" s="120" t="s">
        <v>71</v>
      </c>
      <c r="AJ10" s="120" t="s">
        <v>60</v>
      </c>
      <c r="AK10" s="120" t="s">
        <v>49</v>
      </c>
      <c r="AL10" s="120" t="s">
        <v>61</v>
      </c>
      <c r="AM10" s="120" t="s">
        <v>52</v>
      </c>
      <c r="AN10" s="120" t="s">
        <v>52</v>
      </c>
      <c r="AO10" s="120" t="s">
        <v>42</v>
      </c>
      <c r="AP10" s="120" t="s">
        <v>39</v>
      </c>
      <c r="AQ10" s="120" t="s">
        <v>44</v>
      </c>
      <c r="AR10" s="120" t="s">
        <v>49</v>
      </c>
      <c r="AS10" s="120" t="s">
        <v>60</v>
      </c>
      <c r="AT10" s="120" t="s">
        <v>61</v>
      </c>
      <c r="AU10" s="120" t="s">
        <v>47</v>
      </c>
      <c r="AV10" s="120" t="s">
        <v>59</v>
      </c>
      <c r="AW10" s="120" t="s">
        <v>58</v>
      </c>
      <c r="AX10" s="120" t="s">
        <v>64</v>
      </c>
      <c r="AY10" s="120" t="s">
        <v>55</v>
      </c>
      <c r="AZ10" s="120" t="s">
        <v>54</v>
      </c>
      <c r="BA10" s="120" t="s">
        <v>46</v>
      </c>
      <c r="BB10" s="120" t="s">
        <v>57</v>
      </c>
      <c r="BC10" s="120" t="s">
        <v>43</v>
      </c>
      <c r="BD10" s="120" t="s">
        <v>40</v>
      </c>
      <c r="BE10" s="120" t="s">
        <v>45</v>
      </c>
      <c r="BF10" s="120" t="s">
        <v>60</v>
      </c>
      <c r="BG10" s="120" t="s">
        <v>39</v>
      </c>
      <c r="BH10" s="120" t="s">
        <v>44</v>
      </c>
      <c r="BI10" s="120" t="s">
        <v>46</v>
      </c>
      <c r="BJ10" s="120" t="s">
        <v>56</v>
      </c>
      <c r="BK10" s="120" t="s">
        <v>71</v>
      </c>
      <c r="BL10" s="120" t="s">
        <v>43</v>
      </c>
      <c r="BM10" s="120" t="s">
        <v>63</v>
      </c>
      <c r="BN10" s="120" t="s">
        <v>66</v>
      </c>
      <c r="BO10" s="120" t="s">
        <v>55</v>
      </c>
      <c r="BP10" s="120" t="s">
        <v>326</v>
      </c>
      <c r="BQ10" s="120" t="s">
        <v>49</v>
      </c>
      <c r="BR10" s="120" t="s">
        <v>47</v>
      </c>
      <c r="BS10" s="120" t="s">
        <v>70</v>
      </c>
      <c r="BT10" s="120" t="s">
        <v>52</v>
      </c>
      <c r="BU10" s="120" t="s">
        <v>75</v>
      </c>
      <c r="BV10" s="120" t="s">
        <v>54</v>
      </c>
      <c r="BW10" s="120" t="s">
        <v>59</v>
      </c>
      <c r="BX10" s="120" t="s">
        <v>70</v>
      </c>
      <c r="BY10" s="120" t="s">
        <v>58</v>
      </c>
      <c r="BZ10" s="120" t="s">
        <v>49</v>
      </c>
      <c r="CA10" s="120" t="s">
        <v>55</v>
      </c>
      <c r="CB10" s="120" t="s">
        <v>61</v>
      </c>
      <c r="CC10" s="120" t="s">
        <v>60</v>
      </c>
      <c r="CD10" s="120" t="s">
        <v>64</v>
      </c>
      <c r="CE10" s="120" t="s">
        <v>71</v>
      </c>
      <c r="CF10" s="120" t="s">
        <v>57</v>
      </c>
      <c r="CG10" s="120" t="s">
        <v>72</v>
      </c>
      <c r="CH10" s="120" t="s">
        <v>66</v>
      </c>
      <c r="CI10" s="120" t="s">
        <v>44</v>
      </c>
      <c r="CJ10" s="120" t="s">
        <v>46</v>
      </c>
      <c r="CK10" s="120" t="s">
        <v>45</v>
      </c>
      <c r="CL10" s="120" t="s">
        <v>56</v>
      </c>
      <c r="CM10" s="120" t="s">
        <v>54</v>
      </c>
      <c r="CN10" s="120" t="s">
        <v>51</v>
      </c>
      <c r="CO10" s="120" t="s">
        <v>40</v>
      </c>
      <c r="CP10" s="120" t="s">
        <v>74</v>
      </c>
      <c r="CQ10" s="120" t="s">
        <v>45</v>
      </c>
      <c r="CR10" s="120" t="s">
        <v>47</v>
      </c>
      <c r="CS10" s="120" t="s">
        <v>52</v>
      </c>
      <c r="CT10" s="120" t="s">
        <v>55</v>
      </c>
      <c r="CU10" s="120" t="s">
        <v>43</v>
      </c>
      <c r="CV10" s="120" t="s">
        <v>56</v>
      </c>
      <c r="CW10" s="120" t="s">
        <v>58</v>
      </c>
      <c r="CX10" s="120" t="s">
        <v>57</v>
      </c>
      <c r="CY10" s="120" t="s">
        <v>326</v>
      </c>
      <c r="CZ10" s="120" t="s">
        <v>75</v>
      </c>
      <c r="DA10" s="120" t="s">
        <v>61</v>
      </c>
      <c r="DB10" s="120" t="s">
        <v>59</v>
      </c>
      <c r="DC10" s="120" t="s">
        <v>60</v>
      </c>
      <c r="DD10" s="120" t="s">
        <v>71</v>
      </c>
      <c r="DE10" s="120" t="s">
        <v>39</v>
      </c>
      <c r="DF10" s="120" t="s">
        <v>44</v>
      </c>
      <c r="DG10" s="120" t="s">
        <v>40</v>
      </c>
      <c r="DH10" s="120" t="s">
        <v>48</v>
      </c>
      <c r="DI10" s="120" t="s">
        <v>49</v>
      </c>
      <c r="DJ10" s="120" t="s">
        <v>40</v>
      </c>
      <c r="DK10" s="120" t="s">
        <v>47</v>
      </c>
      <c r="DL10" s="120" t="s">
        <v>326</v>
      </c>
      <c r="DM10" s="120" t="s">
        <v>61</v>
      </c>
      <c r="DN10" s="120" t="s">
        <v>44</v>
      </c>
      <c r="DO10" s="120" t="s">
        <v>42</v>
      </c>
      <c r="DP10" s="120" t="s">
        <v>60</v>
      </c>
      <c r="DQ10" s="120" t="s">
        <v>56</v>
      </c>
      <c r="DR10" s="120" t="s">
        <v>50</v>
      </c>
      <c r="DS10" s="120" t="s">
        <v>55</v>
      </c>
      <c r="DT10" s="120" t="s">
        <v>54</v>
      </c>
      <c r="DU10" s="120" t="s">
        <v>71</v>
      </c>
      <c r="DV10" s="120" t="s">
        <v>52</v>
      </c>
      <c r="DW10" s="120" t="s">
        <v>46</v>
      </c>
      <c r="DX10" s="120" t="s">
        <v>59</v>
      </c>
      <c r="DY10" s="120" t="s">
        <v>45</v>
      </c>
      <c r="DZ10" s="120" t="s">
        <v>42</v>
      </c>
      <c r="EA10" s="120" t="s">
        <v>44</v>
      </c>
      <c r="EB10" s="120" t="s">
        <v>49</v>
      </c>
      <c r="EC10" s="120" t="s">
        <v>46</v>
      </c>
      <c r="ED10" s="120" t="s">
        <v>61</v>
      </c>
      <c r="EE10" s="120" t="s">
        <v>52</v>
      </c>
      <c r="EF10" s="120" t="s">
        <v>39</v>
      </c>
      <c r="EG10" s="120" t="s">
        <v>68</v>
      </c>
      <c r="EH10" s="120" t="s">
        <v>56</v>
      </c>
      <c r="EI10" s="120" t="s">
        <v>40</v>
      </c>
      <c r="EJ10" s="120" t="s">
        <v>43</v>
      </c>
      <c r="EK10" s="120" t="s">
        <v>48</v>
      </c>
      <c r="EL10" s="120" t="s">
        <v>45</v>
      </c>
      <c r="EM10" s="120" t="s">
        <v>71</v>
      </c>
      <c r="EN10" s="120" t="s">
        <v>54</v>
      </c>
      <c r="EO10" s="120" t="s">
        <v>64</v>
      </c>
      <c r="EP10" s="120" t="s">
        <v>75</v>
      </c>
      <c r="EQ10" s="120" t="s">
        <v>55</v>
      </c>
      <c r="ER10" s="120" t="s">
        <v>55</v>
      </c>
      <c r="ES10" s="120" t="s">
        <v>44</v>
      </c>
      <c r="ET10" s="120" t="s">
        <v>40</v>
      </c>
      <c r="EU10" s="120" t="s">
        <v>45</v>
      </c>
      <c r="EV10" s="120" t="s">
        <v>60</v>
      </c>
      <c r="EW10" s="120" t="s">
        <v>71</v>
      </c>
      <c r="EX10" s="120" t="s">
        <v>52</v>
      </c>
      <c r="EY10" s="120" t="s">
        <v>49</v>
      </c>
      <c r="EZ10" s="120" t="s">
        <v>332</v>
      </c>
      <c r="FA10" s="120" t="s">
        <v>339</v>
      </c>
      <c r="FB10" s="120" t="s">
        <v>55</v>
      </c>
    </row>
    <row r="11" ht="22.5" customHeight="1">
      <c r="A11" s="121">
        <v>45915.65799413194</v>
      </c>
      <c r="B11" s="120" t="s">
        <v>347</v>
      </c>
      <c r="C11" s="120" t="s">
        <v>10</v>
      </c>
      <c r="D11" s="120" t="s">
        <v>63</v>
      </c>
      <c r="E11" s="120" t="s">
        <v>39</v>
      </c>
      <c r="F11" s="120" t="s">
        <v>40</v>
      </c>
      <c r="G11" s="120" t="s">
        <v>70</v>
      </c>
      <c r="H11" s="120" t="s">
        <v>61</v>
      </c>
      <c r="I11" s="120" t="s">
        <v>43</v>
      </c>
      <c r="J11" s="120" t="s">
        <v>74</v>
      </c>
      <c r="K11" s="120" t="s">
        <v>77</v>
      </c>
      <c r="L11" s="120" t="s">
        <v>44</v>
      </c>
      <c r="M11" s="120" t="s">
        <v>55</v>
      </c>
      <c r="N11" s="120" t="s">
        <v>46</v>
      </c>
      <c r="O11" s="120" t="s">
        <v>47</v>
      </c>
      <c r="P11" s="120" t="s">
        <v>42</v>
      </c>
      <c r="Q11" s="120" t="s">
        <v>68</v>
      </c>
      <c r="R11" s="120" t="s">
        <v>49</v>
      </c>
      <c r="S11" s="120" t="s">
        <v>58</v>
      </c>
      <c r="T11" s="120" t="s">
        <v>51</v>
      </c>
      <c r="U11" s="120" t="s">
        <v>59</v>
      </c>
      <c r="V11" s="120" t="s">
        <v>54</v>
      </c>
      <c r="W11" s="120" t="s">
        <v>40</v>
      </c>
      <c r="X11" s="120" t="s">
        <v>47</v>
      </c>
      <c r="Y11" s="120" t="s">
        <v>55</v>
      </c>
      <c r="Z11" s="120" t="s">
        <v>56</v>
      </c>
      <c r="AA11" s="120" t="s">
        <v>43</v>
      </c>
      <c r="AB11" s="120" t="s">
        <v>42</v>
      </c>
      <c r="AC11" s="120" t="s">
        <v>46</v>
      </c>
      <c r="AD11" s="120" t="s">
        <v>45</v>
      </c>
      <c r="AE11" s="120" t="s">
        <v>59</v>
      </c>
      <c r="AF11" s="120" t="s">
        <v>72</v>
      </c>
      <c r="AG11" s="120" t="s">
        <v>39</v>
      </c>
      <c r="AH11" s="120" t="s">
        <v>42</v>
      </c>
      <c r="AI11" s="120" t="s">
        <v>326</v>
      </c>
      <c r="AJ11" s="120" t="s">
        <v>60</v>
      </c>
      <c r="AK11" s="120" t="s">
        <v>49</v>
      </c>
      <c r="AL11" s="120" t="s">
        <v>61</v>
      </c>
      <c r="AM11" s="120" t="s">
        <v>52</v>
      </c>
      <c r="AN11" s="120" t="s">
        <v>52</v>
      </c>
      <c r="AO11" s="120" t="s">
        <v>67</v>
      </c>
      <c r="AP11" s="120" t="s">
        <v>56</v>
      </c>
      <c r="AQ11" s="120" t="s">
        <v>44</v>
      </c>
      <c r="AR11" s="120" t="s">
        <v>49</v>
      </c>
      <c r="AS11" s="120" t="s">
        <v>63</v>
      </c>
      <c r="AT11" s="120" t="s">
        <v>61</v>
      </c>
      <c r="AU11" s="120" t="s">
        <v>38</v>
      </c>
      <c r="AV11" s="120" t="s">
        <v>59</v>
      </c>
      <c r="AW11" s="120" t="s">
        <v>58</v>
      </c>
      <c r="AX11" s="120" t="s">
        <v>64</v>
      </c>
      <c r="AY11" s="120" t="s">
        <v>55</v>
      </c>
      <c r="AZ11" s="120" t="s">
        <v>54</v>
      </c>
      <c r="BA11" s="120" t="s">
        <v>46</v>
      </c>
      <c r="BB11" s="120" t="s">
        <v>57</v>
      </c>
      <c r="BC11" s="120" t="s">
        <v>43</v>
      </c>
      <c r="BD11" s="120" t="s">
        <v>40</v>
      </c>
      <c r="BE11" s="120" t="s">
        <v>45</v>
      </c>
      <c r="BF11" s="120" t="s">
        <v>60</v>
      </c>
      <c r="BG11" s="120" t="s">
        <v>39</v>
      </c>
      <c r="BH11" s="120" t="s">
        <v>44</v>
      </c>
      <c r="BI11" s="120" t="s">
        <v>46</v>
      </c>
      <c r="BJ11" s="120" t="s">
        <v>56</v>
      </c>
      <c r="BK11" s="120" t="s">
        <v>71</v>
      </c>
      <c r="BL11" s="120" t="s">
        <v>43</v>
      </c>
      <c r="BM11" s="120" t="s">
        <v>63</v>
      </c>
      <c r="BN11" s="120" t="s">
        <v>66</v>
      </c>
      <c r="BO11" s="120" t="s">
        <v>55</v>
      </c>
      <c r="BP11" s="120" t="s">
        <v>326</v>
      </c>
      <c r="BQ11" s="120" t="s">
        <v>49</v>
      </c>
      <c r="BR11" s="120" t="s">
        <v>47</v>
      </c>
      <c r="BS11" s="120" t="s">
        <v>70</v>
      </c>
      <c r="BT11" s="120" t="s">
        <v>52</v>
      </c>
      <c r="BU11" s="120" t="s">
        <v>75</v>
      </c>
      <c r="BV11" s="120" t="s">
        <v>57</v>
      </c>
      <c r="BW11" s="120" t="s">
        <v>59</v>
      </c>
      <c r="BX11" s="120" t="s">
        <v>75</v>
      </c>
      <c r="BY11" s="120" t="s">
        <v>58</v>
      </c>
      <c r="BZ11" s="120" t="s">
        <v>49</v>
      </c>
      <c r="CA11" s="120" t="s">
        <v>52</v>
      </c>
      <c r="CB11" s="120" t="s">
        <v>61</v>
      </c>
      <c r="CC11" s="120" t="s">
        <v>60</v>
      </c>
      <c r="CD11" s="120" t="s">
        <v>64</v>
      </c>
      <c r="CE11" s="120" t="s">
        <v>71</v>
      </c>
      <c r="CF11" s="120" t="s">
        <v>59</v>
      </c>
      <c r="CG11" s="120" t="s">
        <v>72</v>
      </c>
      <c r="CH11" s="120" t="s">
        <v>42</v>
      </c>
      <c r="CI11" s="120" t="s">
        <v>44</v>
      </c>
      <c r="CJ11" s="120" t="s">
        <v>46</v>
      </c>
      <c r="CK11" s="120" t="s">
        <v>39</v>
      </c>
      <c r="CL11" s="120" t="s">
        <v>56</v>
      </c>
      <c r="CM11" s="120" t="s">
        <v>54</v>
      </c>
      <c r="CN11" s="120" t="s">
        <v>51</v>
      </c>
      <c r="CO11" s="120" t="s">
        <v>40</v>
      </c>
      <c r="CP11" s="120" t="s">
        <v>74</v>
      </c>
      <c r="CQ11" s="120" t="s">
        <v>45</v>
      </c>
      <c r="CR11" s="120" t="s">
        <v>42</v>
      </c>
      <c r="CS11" s="120" t="s">
        <v>52</v>
      </c>
      <c r="CT11" s="120" t="s">
        <v>55</v>
      </c>
      <c r="CU11" s="120" t="s">
        <v>43</v>
      </c>
      <c r="CV11" s="120" t="s">
        <v>56</v>
      </c>
      <c r="CW11" s="120" t="s">
        <v>58</v>
      </c>
      <c r="CX11" s="120" t="s">
        <v>57</v>
      </c>
      <c r="CY11" s="120" t="s">
        <v>326</v>
      </c>
      <c r="CZ11" s="120" t="s">
        <v>41</v>
      </c>
      <c r="DA11" s="120" t="s">
        <v>61</v>
      </c>
      <c r="DB11" s="120" t="s">
        <v>59</v>
      </c>
      <c r="DC11" s="120" t="s">
        <v>70</v>
      </c>
      <c r="DD11" s="120" t="s">
        <v>71</v>
      </c>
      <c r="DE11" s="120" t="s">
        <v>39</v>
      </c>
      <c r="DF11" s="120" t="s">
        <v>64</v>
      </c>
      <c r="DG11" s="120" t="s">
        <v>40</v>
      </c>
      <c r="DH11" s="120" t="s">
        <v>48</v>
      </c>
      <c r="DI11" s="120" t="s">
        <v>49</v>
      </c>
      <c r="DJ11" s="120" t="s">
        <v>40</v>
      </c>
      <c r="DK11" s="120" t="s">
        <v>47</v>
      </c>
      <c r="DL11" s="120" t="s">
        <v>42</v>
      </c>
      <c r="DM11" s="120" t="s">
        <v>43</v>
      </c>
      <c r="DN11" s="120" t="s">
        <v>44</v>
      </c>
      <c r="DO11" s="120" t="s">
        <v>74</v>
      </c>
      <c r="DP11" s="120" t="s">
        <v>60</v>
      </c>
      <c r="DQ11" s="120" t="s">
        <v>56</v>
      </c>
      <c r="DR11" s="120" t="s">
        <v>41</v>
      </c>
      <c r="DS11" s="120" t="s">
        <v>55</v>
      </c>
      <c r="DT11" s="120" t="s">
        <v>64</v>
      </c>
      <c r="DU11" s="120" t="s">
        <v>71</v>
      </c>
      <c r="DV11" s="120" t="s">
        <v>52</v>
      </c>
      <c r="DW11" s="120" t="s">
        <v>46</v>
      </c>
      <c r="DX11" s="120" t="s">
        <v>59</v>
      </c>
      <c r="DY11" s="120" t="s">
        <v>45</v>
      </c>
      <c r="DZ11" s="120" t="s">
        <v>327</v>
      </c>
      <c r="EA11" s="120" t="s">
        <v>44</v>
      </c>
      <c r="EB11" s="120" t="s">
        <v>49</v>
      </c>
      <c r="EC11" s="120" t="s">
        <v>46</v>
      </c>
      <c r="ED11" s="120" t="s">
        <v>61</v>
      </c>
      <c r="EE11" s="120" t="s">
        <v>52</v>
      </c>
      <c r="EF11" s="120" t="s">
        <v>39</v>
      </c>
      <c r="EG11" s="120" t="s">
        <v>68</v>
      </c>
      <c r="EH11" s="120" t="s">
        <v>56</v>
      </c>
      <c r="EI11" s="120" t="s">
        <v>40</v>
      </c>
      <c r="EJ11" s="120" t="s">
        <v>43</v>
      </c>
      <c r="EK11" s="120" t="s">
        <v>48</v>
      </c>
      <c r="EL11" s="120" t="s">
        <v>63</v>
      </c>
      <c r="EM11" s="120" t="s">
        <v>66</v>
      </c>
      <c r="EN11" s="120" t="s">
        <v>54</v>
      </c>
      <c r="EO11" s="120" t="s">
        <v>64</v>
      </c>
      <c r="EP11" s="120" t="s">
        <v>75</v>
      </c>
      <c r="EQ11" s="120" t="s">
        <v>55</v>
      </c>
      <c r="ER11" s="120" t="s">
        <v>46</v>
      </c>
      <c r="ES11" s="120" t="s">
        <v>52</v>
      </c>
      <c r="ET11" s="120" t="s">
        <v>44</v>
      </c>
      <c r="EU11" s="120" t="s">
        <v>45</v>
      </c>
      <c r="EV11" s="120" t="s">
        <v>39</v>
      </c>
      <c r="EW11" s="120" t="s">
        <v>40</v>
      </c>
      <c r="EX11" s="120" t="s">
        <v>49</v>
      </c>
      <c r="EY11" s="120" t="s">
        <v>47</v>
      </c>
      <c r="EZ11" s="120" t="s">
        <v>330</v>
      </c>
      <c r="FA11" s="120" t="s">
        <v>339</v>
      </c>
      <c r="FB11" s="120" t="s">
        <v>46</v>
      </c>
    </row>
    <row r="12" ht="22.5" customHeight="1">
      <c r="A12" s="121">
        <v>45915.723804733796</v>
      </c>
      <c r="B12" s="120" t="s">
        <v>348</v>
      </c>
      <c r="C12" s="120" t="s">
        <v>18</v>
      </c>
      <c r="D12" s="120" t="s">
        <v>63</v>
      </c>
      <c r="E12" s="120" t="s">
        <v>39</v>
      </c>
      <c r="F12" s="120" t="s">
        <v>40</v>
      </c>
      <c r="G12" s="120" t="s">
        <v>70</v>
      </c>
      <c r="H12" s="120" t="s">
        <v>71</v>
      </c>
      <c r="I12" s="120" t="s">
        <v>43</v>
      </c>
      <c r="J12" s="120" t="s">
        <v>42</v>
      </c>
      <c r="K12" s="120" t="s">
        <v>42</v>
      </c>
      <c r="L12" s="120" t="s">
        <v>44</v>
      </c>
      <c r="M12" s="120" t="s">
        <v>45</v>
      </c>
      <c r="N12" s="120" t="s">
        <v>46</v>
      </c>
      <c r="O12" s="120" t="s">
        <v>42</v>
      </c>
      <c r="P12" s="120" t="s">
        <v>48</v>
      </c>
      <c r="Q12" s="120" t="s">
        <v>72</v>
      </c>
      <c r="R12" s="120" t="s">
        <v>49</v>
      </c>
      <c r="S12" s="120" t="s">
        <v>58</v>
      </c>
      <c r="T12" s="120" t="s">
        <v>51</v>
      </c>
      <c r="U12" s="120" t="s">
        <v>52</v>
      </c>
      <c r="V12" s="120" t="s">
        <v>54</v>
      </c>
      <c r="W12" s="120" t="s">
        <v>40</v>
      </c>
      <c r="X12" s="120" t="s">
        <v>47</v>
      </c>
      <c r="Y12" s="120" t="s">
        <v>55</v>
      </c>
      <c r="Z12" s="120" t="s">
        <v>56</v>
      </c>
      <c r="AA12" s="120" t="s">
        <v>43</v>
      </c>
      <c r="AB12" s="120" t="s">
        <v>57</v>
      </c>
      <c r="AC12" s="120" t="s">
        <v>46</v>
      </c>
      <c r="AD12" s="120" t="s">
        <v>45</v>
      </c>
      <c r="AE12" s="120" t="s">
        <v>59</v>
      </c>
      <c r="AF12" s="120" t="s">
        <v>72</v>
      </c>
      <c r="AG12" s="120" t="s">
        <v>39</v>
      </c>
      <c r="AH12" s="120" t="s">
        <v>68</v>
      </c>
      <c r="AI12" s="120" t="s">
        <v>71</v>
      </c>
      <c r="AJ12" s="120" t="s">
        <v>60</v>
      </c>
      <c r="AK12" s="120" t="s">
        <v>49</v>
      </c>
      <c r="AL12" s="120" t="s">
        <v>61</v>
      </c>
      <c r="AM12" s="120" t="s">
        <v>52</v>
      </c>
      <c r="AN12" s="120" t="s">
        <v>52</v>
      </c>
      <c r="AO12" s="120" t="s">
        <v>67</v>
      </c>
      <c r="AP12" s="120" t="s">
        <v>39</v>
      </c>
      <c r="AQ12" s="120" t="s">
        <v>44</v>
      </c>
      <c r="AR12" s="120" t="s">
        <v>49</v>
      </c>
      <c r="AS12" s="120" t="s">
        <v>60</v>
      </c>
      <c r="AT12" s="120" t="s">
        <v>61</v>
      </c>
      <c r="AU12" s="120" t="s">
        <v>47</v>
      </c>
      <c r="AV12" s="120" t="s">
        <v>42</v>
      </c>
      <c r="AW12" s="120" t="s">
        <v>58</v>
      </c>
      <c r="AX12" s="120" t="s">
        <v>64</v>
      </c>
      <c r="AY12" s="120" t="s">
        <v>55</v>
      </c>
      <c r="AZ12" s="120" t="s">
        <v>54</v>
      </c>
      <c r="BA12" s="120" t="s">
        <v>46</v>
      </c>
      <c r="BB12" s="120" t="s">
        <v>57</v>
      </c>
      <c r="BC12" s="120" t="s">
        <v>43</v>
      </c>
      <c r="BD12" s="120" t="s">
        <v>40</v>
      </c>
      <c r="BE12" s="120" t="s">
        <v>45</v>
      </c>
      <c r="BF12" s="120" t="s">
        <v>60</v>
      </c>
      <c r="BG12" s="120" t="s">
        <v>39</v>
      </c>
      <c r="BH12" s="120" t="s">
        <v>42</v>
      </c>
      <c r="BI12" s="120" t="s">
        <v>46</v>
      </c>
      <c r="BJ12" s="120" t="s">
        <v>56</v>
      </c>
      <c r="BK12" s="120" t="s">
        <v>71</v>
      </c>
      <c r="BL12" s="120" t="s">
        <v>43</v>
      </c>
      <c r="BM12" s="120" t="s">
        <v>42</v>
      </c>
      <c r="BN12" s="120" t="s">
        <v>42</v>
      </c>
      <c r="BO12" s="120" t="s">
        <v>55</v>
      </c>
      <c r="BP12" s="120" t="s">
        <v>42</v>
      </c>
      <c r="BQ12" s="120" t="s">
        <v>49</v>
      </c>
      <c r="BR12" s="120" t="s">
        <v>47</v>
      </c>
      <c r="BS12" s="120" t="s">
        <v>70</v>
      </c>
      <c r="BT12" s="120" t="s">
        <v>52</v>
      </c>
      <c r="BU12" s="120" t="s">
        <v>75</v>
      </c>
      <c r="BV12" s="120" t="s">
        <v>42</v>
      </c>
      <c r="BW12" s="120" t="s">
        <v>64</v>
      </c>
      <c r="BX12" s="120" t="s">
        <v>75</v>
      </c>
      <c r="BY12" s="120" t="s">
        <v>58</v>
      </c>
      <c r="BZ12" s="120" t="s">
        <v>49</v>
      </c>
      <c r="CA12" s="120" t="s">
        <v>42</v>
      </c>
      <c r="CB12" s="120" t="s">
        <v>61</v>
      </c>
      <c r="CC12" s="120" t="s">
        <v>60</v>
      </c>
      <c r="CD12" s="120" t="s">
        <v>64</v>
      </c>
      <c r="CE12" s="120" t="s">
        <v>71</v>
      </c>
      <c r="CF12" s="120" t="s">
        <v>57</v>
      </c>
      <c r="CG12" s="120" t="s">
        <v>72</v>
      </c>
      <c r="CH12" s="120" t="s">
        <v>66</v>
      </c>
      <c r="CI12" s="120" t="s">
        <v>44</v>
      </c>
      <c r="CJ12" s="120" t="s">
        <v>46</v>
      </c>
      <c r="CK12" s="120" t="s">
        <v>42</v>
      </c>
      <c r="CL12" s="120" t="s">
        <v>56</v>
      </c>
      <c r="CM12" s="120" t="s">
        <v>54</v>
      </c>
      <c r="CN12" s="120" t="s">
        <v>51</v>
      </c>
      <c r="CO12" s="120" t="s">
        <v>40</v>
      </c>
      <c r="CP12" s="120" t="s">
        <v>42</v>
      </c>
      <c r="CQ12" s="120" t="s">
        <v>45</v>
      </c>
      <c r="CR12" s="120" t="s">
        <v>46</v>
      </c>
      <c r="CS12" s="120" t="s">
        <v>52</v>
      </c>
      <c r="CT12" s="120" t="s">
        <v>55</v>
      </c>
      <c r="CU12" s="120" t="s">
        <v>43</v>
      </c>
      <c r="CV12" s="120" t="s">
        <v>56</v>
      </c>
      <c r="CW12" s="120" t="s">
        <v>42</v>
      </c>
      <c r="CX12" s="120" t="s">
        <v>57</v>
      </c>
      <c r="CY12" s="120" t="s">
        <v>42</v>
      </c>
      <c r="CZ12" s="120" t="s">
        <v>42</v>
      </c>
      <c r="DA12" s="120" t="s">
        <v>61</v>
      </c>
      <c r="DB12" s="120" t="s">
        <v>68</v>
      </c>
      <c r="DC12" s="120" t="s">
        <v>60</v>
      </c>
      <c r="DD12" s="120" t="s">
        <v>71</v>
      </c>
      <c r="DE12" s="120" t="s">
        <v>39</v>
      </c>
      <c r="DF12" s="120" t="s">
        <v>44</v>
      </c>
      <c r="DG12" s="120" t="s">
        <v>42</v>
      </c>
      <c r="DH12" s="120" t="s">
        <v>48</v>
      </c>
      <c r="DI12" s="120" t="s">
        <v>49</v>
      </c>
      <c r="DJ12" s="120" t="s">
        <v>40</v>
      </c>
      <c r="DK12" s="120" t="s">
        <v>47</v>
      </c>
      <c r="DL12" s="120" t="s">
        <v>42</v>
      </c>
      <c r="DM12" s="120" t="s">
        <v>42</v>
      </c>
      <c r="DN12" s="120" t="s">
        <v>44</v>
      </c>
      <c r="DO12" s="120" t="s">
        <v>74</v>
      </c>
      <c r="DP12" s="120" t="s">
        <v>60</v>
      </c>
      <c r="DQ12" s="120" t="s">
        <v>56</v>
      </c>
      <c r="DR12" s="120" t="s">
        <v>42</v>
      </c>
      <c r="DS12" s="120" t="s">
        <v>55</v>
      </c>
      <c r="DT12" s="120" t="s">
        <v>54</v>
      </c>
      <c r="DU12" s="120" t="s">
        <v>71</v>
      </c>
      <c r="DV12" s="120" t="s">
        <v>52</v>
      </c>
      <c r="DW12" s="120" t="s">
        <v>46</v>
      </c>
      <c r="DX12" s="120" t="s">
        <v>59</v>
      </c>
      <c r="DY12" s="120" t="s">
        <v>45</v>
      </c>
      <c r="DZ12" s="120" t="s">
        <v>42</v>
      </c>
      <c r="EA12" s="120" t="s">
        <v>44</v>
      </c>
      <c r="EB12" s="120" t="s">
        <v>49</v>
      </c>
      <c r="EC12" s="120" t="s">
        <v>46</v>
      </c>
      <c r="ED12" s="120" t="s">
        <v>61</v>
      </c>
      <c r="EE12" s="120" t="s">
        <v>52</v>
      </c>
      <c r="EF12" s="120" t="s">
        <v>39</v>
      </c>
      <c r="EG12" s="120" t="s">
        <v>42</v>
      </c>
      <c r="EH12" s="120" t="s">
        <v>56</v>
      </c>
      <c r="EI12" s="120" t="s">
        <v>40</v>
      </c>
      <c r="EJ12" s="120" t="s">
        <v>43</v>
      </c>
      <c r="EK12" s="120" t="s">
        <v>48</v>
      </c>
      <c r="EL12" s="120" t="s">
        <v>45</v>
      </c>
      <c r="EM12" s="120" t="s">
        <v>71</v>
      </c>
      <c r="EN12" s="120" t="s">
        <v>54</v>
      </c>
      <c r="EO12" s="120" t="s">
        <v>64</v>
      </c>
      <c r="EP12" s="120" t="s">
        <v>75</v>
      </c>
      <c r="EQ12" s="120" t="s">
        <v>60</v>
      </c>
      <c r="ER12" s="120" t="s">
        <v>52</v>
      </c>
      <c r="ES12" s="120" t="s">
        <v>46</v>
      </c>
      <c r="ET12" s="120" t="s">
        <v>49</v>
      </c>
      <c r="EU12" s="120" t="s">
        <v>40</v>
      </c>
      <c r="EV12" s="120" t="s">
        <v>45</v>
      </c>
      <c r="EW12" s="120" t="s">
        <v>55</v>
      </c>
      <c r="EX12" s="120" t="s">
        <v>71</v>
      </c>
      <c r="EY12" s="120" t="s">
        <v>60</v>
      </c>
      <c r="EZ12" s="120" t="s">
        <v>335</v>
      </c>
      <c r="FA12" s="120" t="s">
        <v>349</v>
      </c>
      <c r="FB12" s="120" t="s">
        <v>52</v>
      </c>
    </row>
    <row r="13" ht="22.5" customHeight="1">
      <c r="A13" s="121">
        <v>45915.81978839121</v>
      </c>
      <c r="B13" s="120" t="s">
        <v>350</v>
      </c>
      <c r="C13" s="120" t="s">
        <v>2</v>
      </c>
      <c r="D13" s="120" t="s">
        <v>63</v>
      </c>
      <c r="E13" s="120" t="s">
        <v>39</v>
      </c>
      <c r="F13" s="120" t="s">
        <v>40</v>
      </c>
      <c r="G13" s="120" t="s">
        <v>70</v>
      </c>
      <c r="H13" s="120" t="s">
        <v>71</v>
      </c>
      <c r="I13" s="120" t="s">
        <v>43</v>
      </c>
      <c r="J13" s="120" t="s">
        <v>74</v>
      </c>
      <c r="K13" s="120" t="s">
        <v>327</v>
      </c>
      <c r="L13" s="120" t="s">
        <v>44</v>
      </c>
      <c r="M13" s="120" t="s">
        <v>45</v>
      </c>
      <c r="N13" s="120" t="s">
        <v>46</v>
      </c>
      <c r="O13" s="120" t="s">
        <v>47</v>
      </c>
      <c r="P13" s="120" t="s">
        <v>66</v>
      </c>
      <c r="Q13" s="120" t="s">
        <v>68</v>
      </c>
      <c r="R13" s="120" t="s">
        <v>49</v>
      </c>
      <c r="S13" s="120" t="s">
        <v>50</v>
      </c>
      <c r="T13" s="120" t="s">
        <v>51</v>
      </c>
      <c r="U13" s="120" t="s">
        <v>52</v>
      </c>
      <c r="V13" s="120" t="s">
        <v>54</v>
      </c>
      <c r="W13" s="120" t="s">
        <v>40</v>
      </c>
      <c r="X13" s="120" t="s">
        <v>47</v>
      </c>
      <c r="Y13" s="120" t="s">
        <v>55</v>
      </c>
      <c r="Z13" s="120" t="s">
        <v>56</v>
      </c>
      <c r="AA13" s="120" t="s">
        <v>43</v>
      </c>
      <c r="AB13" s="120" t="s">
        <v>57</v>
      </c>
      <c r="AC13" s="120" t="s">
        <v>46</v>
      </c>
      <c r="AD13" s="120" t="s">
        <v>45</v>
      </c>
      <c r="AE13" s="120" t="s">
        <v>59</v>
      </c>
      <c r="AF13" s="120" t="s">
        <v>72</v>
      </c>
      <c r="AG13" s="120" t="s">
        <v>39</v>
      </c>
      <c r="AH13" s="120" t="s">
        <v>68</v>
      </c>
      <c r="AI13" s="120" t="s">
        <v>71</v>
      </c>
      <c r="AJ13" s="120" t="s">
        <v>60</v>
      </c>
      <c r="AK13" s="120" t="s">
        <v>49</v>
      </c>
      <c r="AL13" s="120" t="s">
        <v>61</v>
      </c>
      <c r="AM13" s="120" t="s">
        <v>52</v>
      </c>
      <c r="AN13" s="120" t="s">
        <v>52</v>
      </c>
      <c r="AO13" s="120" t="s">
        <v>67</v>
      </c>
      <c r="AP13" s="120" t="s">
        <v>39</v>
      </c>
      <c r="AQ13" s="120" t="s">
        <v>44</v>
      </c>
      <c r="AR13" s="120" t="s">
        <v>49</v>
      </c>
      <c r="AS13" s="120" t="s">
        <v>60</v>
      </c>
      <c r="AT13" s="120" t="s">
        <v>61</v>
      </c>
      <c r="AU13" s="120" t="s">
        <v>47</v>
      </c>
      <c r="AV13" s="120" t="s">
        <v>59</v>
      </c>
      <c r="AW13" s="120" t="s">
        <v>58</v>
      </c>
      <c r="AX13" s="120" t="s">
        <v>64</v>
      </c>
      <c r="AY13" s="120" t="s">
        <v>55</v>
      </c>
      <c r="AZ13" s="120" t="s">
        <v>54</v>
      </c>
      <c r="BA13" s="120" t="s">
        <v>46</v>
      </c>
      <c r="BB13" s="120" t="s">
        <v>42</v>
      </c>
      <c r="BC13" s="120" t="s">
        <v>66</v>
      </c>
      <c r="BD13" s="120" t="s">
        <v>40</v>
      </c>
      <c r="BE13" s="120" t="s">
        <v>45</v>
      </c>
      <c r="BF13" s="120" t="s">
        <v>60</v>
      </c>
      <c r="BG13" s="120" t="s">
        <v>39</v>
      </c>
      <c r="BH13" s="120" t="s">
        <v>44</v>
      </c>
      <c r="BI13" s="120" t="s">
        <v>46</v>
      </c>
      <c r="BJ13" s="120" t="s">
        <v>56</v>
      </c>
      <c r="BK13" s="120" t="s">
        <v>71</v>
      </c>
      <c r="BL13" s="120" t="s">
        <v>43</v>
      </c>
      <c r="BM13" s="120" t="s">
        <v>42</v>
      </c>
      <c r="BN13" s="120" t="s">
        <v>42</v>
      </c>
      <c r="BO13" s="120" t="s">
        <v>55</v>
      </c>
      <c r="BP13" s="120" t="s">
        <v>326</v>
      </c>
      <c r="BQ13" s="120" t="s">
        <v>49</v>
      </c>
      <c r="BR13" s="120" t="s">
        <v>47</v>
      </c>
      <c r="BS13" s="120" t="s">
        <v>70</v>
      </c>
      <c r="BT13" s="120" t="s">
        <v>52</v>
      </c>
      <c r="BU13" s="120" t="s">
        <v>42</v>
      </c>
      <c r="BV13" s="120" t="s">
        <v>42</v>
      </c>
      <c r="BW13" s="120" t="s">
        <v>59</v>
      </c>
      <c r="BX13" s="120" t="s">
        <v>70</v>
      </c>
      <c r="BY13" s="120" t="s">
        <v>58</v>
      </c>
      <c r="BZ13" s="120" t="s">
        <v>49</v>
      </c>
      <c r="CA13" s="120" t="s">
        <v>42</v>
      </c>
      <c r="CB13" s="120" t="s">
        <v>61</v>
      </c>
      <c r="CC13" s="120" t="s">
        <v>60</v>
      </c>
      <c r="CD13" s="120" t="s">
        <v>42</v>
      </c>
      <c r="CE13" s="120" t="s">
        <v>71</v>
      </c>
      <c r="CF13" s="120" t="s">
        <v>59</v>
      </c>
      <c r="CG13" s="120" t="s">
        <v>72</v>
      </c>
      <c r="CH13" s="120" t="s">
        <v>66</v>
      </c>
      <c r="CI13" s="120" t="s">
        <v>44</v>
      </c>
      <c r="CJ13" s="120" t="s">
        <v>46</v>
      </c>
      <c r="CK13" s="120" t="s">
        <v>39</v>
      </c>
      <c r="CL13" s="120" t="s">
        <v>47</v>
      </c>
      <c r="CM13" s="120" t="s">
        <v>42</v>
      </c>
      <c r="CN13" s="120" t="s">
        <v>51</v>
      </c>
      <c r="CO13" s="120" t="s">
        <v>40</v>
      </c>
      <c r="CP13" s="120" t="s">
        <v>74</v>
      </c>
      <c r="CQ13" s="120" t="s">
        <v>45</v>
      </c>
      <c r="CR13" s="120" t="s">
        <v>46</v>
      </c>
      <c r="CS13" s="120" t="s">
        <v>52</v>
      </c>
      <c r="CT13" s="120" t="s">
        <v>42</v>
      </c>
      <c r="CU13" s="120" t="s">
        <v>43</v>
      </c>
      <c r="CV13" s="120" t="s">
        <v>42</v>
      </c>
      <c r="CW13" s="120" t="s">
        <v>66</v>
      </c>
      <c r="CX13" s="120" t="s">
        <v>38</v>
      </c>
      <c r="CY13" s="120" t="s">
        <v>326</v>
      </c>
      <c r="CZ13" s="120" t="s">
        <v>75</v>
      </c>
      <c r="DA13" s="120" t="s">
        <v>61</v>
      </c>
      <c r="DB13" s="120" t="s">
        <v>68</v>
      </c>
      <c r="DC13" s="120" t="s">
        <v>60</v>
      </c>
      <c r="DD13" s="120" t="s">
        <v>71</v>
      </c>
      <c r="DE13" s="120" t="s">
        <v>39</v>
      </c>
      <c r="DF13" s="120" t="s">
        <v>44</v>
      </c>
      <c r="DG13" s="120" t="s">
        <v>40</v>
      </c>
      <c r="DH13" s="120" t="s">
        <v>48</v>
      </c>
      <c r="DI13" s="120" t="s">
        <v>49</v>
      </c>
      <c r="DJ13" s="120" t="s">
        <v>40</v>
      </c>
      <c r="DK13" s="120" t="s">
        <v>47</v>
      </c>
      <c r="DL13" s="120" t="s">
        <v>326</v>
      </c>
      <c r="DM13" s="120" t="s">
        <v>43</v>
      </c>
      <c r="DN13" s="120" t="s">
        <v>44</v>
      </c>
      <c r="DO13" s="120" t="s">
        <v>68</v>
      </c>
      <c r="DP13" s="120" t="s">
        <v>60</v>
      </c>
      <c r="DQ13" s="120" t="s">
        <v>56</v>
      </c>
      <c r="DR13" s="120" t="s">
        <v>50</v>
      </c>
      <c r="DS13" s="120" t="s">
        <v>55</v>
      </c>
      <c r="DT13" s="120" t="s">
        <v>42</v>
      </c>
      <c r="DU13" s="120" t="s">
        <v>71</v>
      </c>
      <c r="DV13" s="120" t="s">
        <v>52</v>
      </c>
      <c r="DW13" s="120" t="s">
        <v>46</v>
      </c>
      <c r="DX13" s="120" t="s">
        <v>59</v>
      </c>
      <c r="DY13" s="120" t="s">
        <v>45</v>
      </c>
      <c r="DZ13" s="120" t="s">
        <v>327</v>
      </c>
      <c r="EA13" s="120" t="s">
        <v>44</v>
      </c>
      <c r="EB13" s="120" t="s">
        <v>49</v>
      </c>
      <c r="EC13" s="120" t="s">
        <v>46</v>
      </c>
      <c r="ED13" s="120" t="s">
        <v>42</v>
      </c>
      <c r="EE13" s="120" t="s">
        <v>52</v>
      </c>
      <c r="EF13" s="120" t="s">
        <v>39</v>
      </c>
      <c r="EG13" s="120" t="s">
        <v>68</v>
      </c>
      <c r="EH13" s="120" t="s">
        <v>56</v>
      </c>
      <c r="EI13" s="120" t="s">
        <v>40</v>
      </c>
      <c r="EJ13" s="120" t="s">
        <v>42</v>
      </c>
      <c r="EK13" s="120" t="s">
        <v>48</v>
      </c>
      <c r="EL13" s="120" t="s">
        <v>45</v>
      </c>
      <c r="EM13" s="120" t="s">
        <v>71</v>
      </c>
      <c r="EN13" s="120" t="s">
        <v>42</v>
      </c>
      <c r="EO13" s="120" t="s">
        <v>64</v>
      </c>
      <c r="EP13" s="120" t="s">
        <v>75</v>
      </c>
      <c r="EQ13" s="120" t="s">
        <v>60</v>
      </c>
      <c r="ER13" s="120" t="s">
        <v>40</v>
      </c>
      <c r="ES13" s="120" t="s">
        <v>44</v>
      </c>
      <c r="ET13" s="120" t="s">
        <v>49</v>
      </c>
      <c r="EU13" s="120" t="s">
        <v>45</v>
      </c>
      <c r="EV13" s="120" t="s">
        <v>39</v>
      </c>
      <c r="EW13" s="120" t="s">
        <v>47</v>
      </c>
      <c r="EX13" s="120" t="s">
        <v>46</v>
      </c>
      <c r="EY13" s="120" t="s">
        <v>54</v>
      </c>
      <c r="EZ13" s="120" t="s">
        <v>329</v>
      </c>
      <c r="FA13" s="120" t="s">
        <v>351</v>
      </c>
      <c r="FB13" s="120" t="s">
        <v>40</v>
      </c>
    </row>
    <row r="14" ht="22.5" customHeight="1">
      <c r="A14" s="121">
        <v>45915.8259143287</v>
      </c>
      <c r="B14" s="120" t="s">
        <v>352</v>
      </c>
      <c r="C14" s="120" t="s">
        <v>13</v>
      </c>
      <c r="D14" s="120" t="s">
        <v>63</v>
      </c>
      <c r="E14" s="120" t="s">
        <v>39</v>
      </c>
      <c r="F14" s="120" t="s">
        <v>40</v>
      </c>
      <c r="G14" s="120" t="s">
        <v>70</v>
      </c>
      <c r="H14" s="120" t="s">
        <v>71</v>
      </c>
      <c r="I14" s="120" t="s">
        <v>43</v>
      </c>
      <c r="J14" s="120" t="s">
        <v>74</v>
      </c>
      <c r="K14" s="120" t="s">
        <v>327</v>
      </c>
      <c r="L14" s="120" t="s">
        <v>44</v>
      </c>
      <c r="M14" s="120" t="s">
        <v>45</v>
      </c>
      <c r="N14" s="120" t="s">
        <v>46</v>
      </c>
      <c r="O14" s="120" t="s">
        <v>47</v>
      </c>
      <c r="P14" s="120" t="s">
        <v>42</v>
      </c>
      <c r="Q14" s="120" t="s">
        <v>42</v>
      </c>
      <c r="R14" s="120" t="s">
        <v>49</v>
      </c>
      <c r="S14" s="120" t="s">
        <v>50</v>
      </c>
      <c r="T14" s="120" t="s">
        <v>51</v>
      </c>
      <c r="U14" s="120" t="s">
        <v>52</v>
      </c>
      <c r="V14" s="120" t="s">
        <v>54</v>
      </c>
      <c r="W14" s="120" t="s">
        <v>40</v>
      </c>
      <c r="X14" s="120" t="s">
        <v>47</v>
      </c>
      <c r="Y14" s="120" t="s">
        <v>55</v>
      </c>
      <c r="Z14" s="120" t="s">
        <v>56</v>
      </c>
      <c r="AA14" s="120" t="s">
        <v>43</v>
      </c>
      <c r="AB14" s="120" t="s">
        <v>57</v>
      </c>
      <c r="AC14" s="120" t="s">
        <v>46</v>
      </c>
      <c r="AD14" s="120" t="s">
        <v>45</v>
      </c>
      <c r="AE14" s="120" t="s">
        <v>59</v>
      </c>
      <c r="AF14" s="120" t="s">
        <v>72</v>
      </c>
      <c r="AG14" s="120" t="s">
        <v>39</v>
      </c>
      <c r="AH14" s="120" t="s">
        <v>42</v>
      </c>
      <c r="AI14" s="120" t="s">
        <v>71</v>
      </c>
      <c r="AJ14" s="120" t="s">
        <v>60</v>
      </c>
      <c r="AK14" s="120" t="s">
        <v>49</v>
      </c>
      <c r="AL14" s="120" t="s">
        <v>61</v>
      </c>
      <c r="AM14" s="120" t="s">
        <v>52</v>
      </c>
      <c r="AN14" s="120" t="s">
        <v>52</v>
      </c>
      <c r="AO14" s="120" t="s">
        <v>328</v>
      </c>
      <c r="AP14" s="120" t="s">
        <v>39</v>
      </c>
      <c r="AQ14" s="120" t="s">
        <v>44</v>
      </c>
      <c r="AR14" s="120" t="s">
        <v>49</v>
      </c>
      <c r="AS14" s="120" t="s">
        <v>42</v>
      </c>
      <c r="AT14" s="120" t="s">
        <v>61</v>
      </c>
      <c r="AU14" s="120" t="s">
        <v>47</v>
      </c>
      <c r="AV14" s="120" t="s">
        <v>59</v>
      </c>
      <c r="AW14" s="120" t="s">
        <v>58</v>
      </c>
      <c r="AX14" s="120" t="s">
        <v>64</v>
      </c>
      <c r="AY14" s="120" t="s">
        <v>55</v>
      </c>
      <c r="AZ14" s="120" t="s">
        <v>54</v>
      </c>
      <c r="BA14" s="120" t="s">
        <v>46</v>
      </c>
      <c r="BB14" s="120" t="s">
        <v>51</v>
      </c>
      <c r="BC14" s="120" t="s">
        <v>43</v>
      </c>
      <c r="BD14" s="120" t="s">
        <v>40</v>
      </c>
      <c r="BE14" s="120" t="s">
        <v>45</v>
      </c>
      <c r="BF14" s="120" t="s">
        <v>60</v>
      </c>
      <c r="BG14" s="120" t="s">
        <v>39</v>
      </c>
      <c r="BH14" s="120" t="s">
        <v>44</v>
      </c>
      <c r="BI14" s="120" t="s">
        <v>46</v>
      </c>
      <c r="BJ14" s="120" t="s">
        <v>56</v>
      </c>
      <c r="BK14" s="120" t="s">
        <v>71</v>
      </c>
      <c r="BL14" s="120" t="s">
        <v>43</v>
      </c>
      <c r="BM14" s="120" t="s">
        <v>42</v>
      </c>
      <c r="BN14" s="120" t="s">
        <v>66</v>
      </c>
      <c r="BO14" s="120" t="s">
        <v>55</v>
      </c>
      <c r="BP14" s="120" t="s">
        <v>326</v>
      </c>
      <c r="BQ14" s="120" t="s">
        <v>49</v>
      </c>
      <c r="BR14" s="120" t="s">
        <v>47</v>
      </c>
      <c r="BS14" s="120" t="s">
        <v>70</v>
      </c>
      <c r="BT14" s="120" t="s">
        <v>52</v>
      </c>
      <c r="BU14" s="120" t="s">
        <v>75</v>
      </c>
      <c r="BV14" s="120" t="s">
        <v>42</v>
      </c>
      <c r="BW14" s="120" t="s">
        <v>59</v>
      </c>
      <c r="BX14" s="120" t="s">
        <v>75</v>
      </c>
      <c r="BY14" s="120" t="s">
        <v>58</v>
      </c>
      <c r="BZ14" s="120" t="s">
        <v>49</v>
      </c>
      <c r="CA14" s="120" t="s">
        <v>42</v>
      </c>
      <c r="CB14" s="120" t="s">
        <v>61</v>
      </c>
      <c r="CC14" s="120" t="s">
        <v>60</v>
      </c>
      <c r="CD14" s="120" t="s">
        <v>327</v>
      </c>
      <c r="CE14" s="120" t="s">
        <v>71</v>
      </c>
      <c r="CF14" s="120" t="s">
        <v>57</v>
      </c>
      <c r="CG14" s="120" t="s">
        <v>72</v>
      </c>
      <c r="CH14" s="120" t="s">
        <v>66</v>
      </c>
      <c r="CI14" s="120" t="s">
        <v>44</v>
      </c>
      <c r="CJ14" s="120" t="s">
        <v>46</v>
      </c>
      <c r="CK14" s="120" t="s">
        <v>42</v>
      </c>
      <c r="CL14" s="120" t="s">
        <v>42</v>
      </c>
      <c r="CM14" s="120" t="s">
        <v>50</v>
      </c>
      <c r="CN14" s="120" t="s">
        <v>51</v>
      </c>
      <c r="CO14" s="120" t="s">
        <v>40</v>
      </c>
      <c r="CP14" s="120" t="s">
        <v>74</v>
      </c>
      <c r="CQ14" s="120" t="s">
        <v>45</v>
      </c>
      <c r="CR14" s="120" t="s">
        <v>46</v>
      </c>
      <c r="CS14" s="120" t="s">
        <v>52</v>
      </c>
      <c r="CT14" s="120" t="s">
        <v>55</v>
      </c>
      <c r="CU14" s="120" t="s">
        <v>43</v>
      </c>
      <c r="CV14" s="120" t="s">
        <v>56</v>
      </c>
      <c r="CW14" s="120" t="s">
        <v>66</v>
      </c>
      <c r="CX14" s="120" t="s">
        <v>57</v>
      </c>
      <c r="CY14" s="120" t="s">
        <v>326</v>
      </c>
      <c r="CZ14" s="120" t="s">
        <v>75</v>
      </c>
      <c r="DA14" s="120" t="s">
        <v>61</v>
      </c>
      <c r="DB14" s="120" t="s">
        <v>42</v>
      </c>
      <c r="DC14" s="120" t="s">
        <v>70</v>
      </c>
      <c r="DD14" s="120" t="s">
        <v>71</v>
      </c>
      <c r="DE14" s="120" t="s">
        <v>39</v>
      </c>
      <c r="DF14" s="120" t="s">
        <v>44</v>
      </c>
      <c r="DG14" s="120" t="s">
        <v>40</v>
      </c>
      <c r="DH14" s="120" t="s">
        <v>48</v>
      </c>
      <c r="DI14" s="120" t="s">
        <v>49</v>
      </c>
      <c r="DJ14" s="120" t="s">
        <v>40</v>
      </c>
      <c r="DK14" s="120" t="s">
        <v>39</v>
      </c>
      <c r="DL14" s="120" t="s">
        <v>326</v>
      </c>
      <c r="DM14" s="120" t="s">
        <v>43</v>
      </c>
      <c r="DN14" s="120" t="s">
        <v>44</v>
      </c>
      <c r="DO14" s="120" t="s">
        <v>74</v>
      </c>
      <c r="DP14" s="120" t="s">
        <v>60</v>
      </c>
      <c r="DQ14" s="120" t="s">
        <v>56</v>
      </c>
      <c r="DR14" s="120" t="s">
        <v>50</v>
      </c>
      <c r="DS14" s="120" t="s">
        <v>55</v>
      </c>
      <c r="DT14" s="120" t="s">
        <v>54</v>
      </c>
      <c r="DU14" s="120" t="s">
        <v>71</v>
      </c>
      <c r="DV14" s="120" t="s">
        <v>52</v>
      </c>
      <c r="DW14" s="120" t="s">
        <v>46</v>
      </c>
      <c r="DX14" s="120" t="s">
        <v>59</v>
      </c>
      <c r="DY14" s="120" t="s">
        <v>45</v>
      </c>
      <c r="DZ14" s="120" t="s">
        <v>327</v>
      </c>
      <c r="EA14" s="120" t="s">
        <v>44</v>
      </c>
      <c r="EB14" s="120" t="s">
        <v>49</v>
      </c>
      <c r="EC14" s="120" t="s">
        <v>46</v>
      </c>
      <c r="ED14" s="120" t="s">
        <v>47</v>
      </c>
      <c r="EE14" s="120" t="s">
        <v>52</v>
      </c>
      <c r="EF14" s="120" t="s">
        <v>39</v>
      </c>
      <c r="EG14" s="120" t="s">
        <v>68</v>
      </c>
      <c r="EH14" s="120" t="s">
        <v>56</v>
      </c>
      <c r="EI14" s="120" t="s">
        <v>40</v>
      </c>
      <c r="EJ14" s="120" t="s">
        <v>43</v>
      </c>
      <c r="EK14" s="120" t="s">
        <v>48</v>
      </c>
      <c r="EL14" s="120" t="s">
        <v>45</v>
      </c>
      <c r="EM14" s="120" t="s">
        <v>42</v>
      </c>
      <c r="EN14" s="120" t="s">
        <v>54</v>
      </c>
      <c r="EO14" s="120" t="s">
        <v>64</v>
      </c>
      <c r="EP14" s="120" t="s">
        <v>75</v>
      </c>
      <c r="EQ14" s="120" t="s">
        <v>55</v>
      </c>
      <c r="ER14" s="120" t="s">
        <v>52</v>
      </c>
      <c r="ES14" s="120" t="s">
        <v>49</v>
      </c>
      <c r="ET14" s="120" t="s">
        <v>44</v>
      </c>
      <c r="EU14" s="120" t="s">
        <v>40</v>
      </c>
      <c r="EV14" s="120" t="s">
        <v>55</v>
      </c>
      <c r="EW14" s="120" t="s">
        <v>45</v>
      </c>
      <c r="EX14" s="120" t="s">
        <v>39</v>
      </c>
      <c r="EY14" s="120" t="s">
        <v>43</v>
      </c>
      <c r="EZ14" s="120" t="s">
        <v>338</v>
      </c>
      <c r="FA14" s="120" t="s">
        <v>353</v>
      </c>
      <c r="FB14" s="120" t="s">
        <v>52</v>
      </c>
    </row>
    <row r="15" ht="22.5" customHeight="1">
      <c r="A15" s="121">
        <v>45916.16195127315</v>
      </c>
      <c r="B15" s="120" t="s">
        <v>354</v>
      </c>
      <c r="C15" s="120" t="s">
        <v>11</v>
      </c>
      <c r="D15" s="120" t="s">
        <v>63</v>
      </c>
      <c r="E15" s="120" t="s">
        <v>39</v>
      </c>
      <c r="F15" s="120" t="s">
        <v>40</v>
      </c>
      <c r="G15" s="120" t="s">
        <v>70</v>
      </c>
      <c r="H15" s="120" t="s">
        <v>71</v>
      </c>
      <c r="I15" s="120" t="s">
        <v>43</v>
      </c>
      <c r="J15" s="120" t="s">
        <v>74</v>
      </c>
      <c r="K15" s="120" t="s">
        <v>327</v>
      </c>
      <c r="L15" s="120" t="s">
        <v>44</v>
      </c>
      <c r="M15" s="120" t="s">
        <v>42</v>
      </c>
      <c r="N15" s="120" t="s">
        <v>42</v>
      </c>
      <c r="O15" s="120" t="s">
        <v>42</v>
      </c>
      <c r="P15" s="120" t="s">
        <v>48</v>
      </c>
      <c r="Q15" s="120" t="s">
        <v>68</v>
      </c>
      <c r="R15" s="120" t="s">
        <v>49</v>
      </c>
      <c r="S15" s="120" t="s">
        <v>50</v>
      </c>
      <c r="T15" s="120" t="s">
        <v>51</v>
      </c>
      <c r="U15" s="120" t="s">
        <v>52</v>
      </c>
      <c r="V15" s="120" t="s">
        <v>54</v>
      </c>
      <c r="W15" s="120" t="s">
        <v>40</v>
      </c>
      <c r="X15" s="120" t="s">
        <v>47</v>
      </c>
      <c r="Y15" s="120" t="s">
        <v>55</v>
      </c>
      <c r="Z15" s="120" t="s">
        <v>56</v>
      </c>
      <c r="AA15" s="120" t="s">
        <v>42</v>
      </c>
      <c r="AB15" s="120" t="s">
        <v>42</v>
      </c>
      <c r="AC15" s="120" t="s">
        <v>46</v>
      </c>
      <c r="AD15" s="120" t="s">
        <v>45</v>
      </c>
      <c r="AE15" s="120" t="s">
        <v>59</v>
      </c>
      <c r="AF15" s="120" t="s">
        <v>41</v>
      </c>
      <c r="AG15" s="120" t="s">
        <v>39</v>
      </c>
      <c r="AH15" s="120" t="s">
        <v>68</v>
      </c>
      <c r="AI15" s="120" t="s">
        <v>42</v>
      </c>
      <c r="AJ15" s="120" t="s">
        <v>60</v>
      </c>
      <c r="AK15" s="120" t="s">
        <v>49</v>
      </c>
      <c r="AL15" s="120" t="s">
        <v>61</v>
      </c>
      <c r="AM15" s="120" t="s">
        <v>52</v>
      </c>
      <c r="AN15" s="120" t="s">
        <v>52</v>
      </c>
      <c r="AO15" s="120" t="s">
        <v>42</v>
      </c>
      <c r="AP15" s="120" t="s">
        <v>42</v>
      </c>
      <c r="AQ15" s="120" t="s">
        <v>42</v>
      </c>
      <c r="AR15" s="120" t="s">
        <v>49</v>
      </c>
      <c r="AS15" s="120" t="s">
        <v>60</v>
      </c>
      <c r="AT15" s="120" t="s">
        <v>42</v>
      </c>
      <c r="AU15" s="120" t="s">
        <v>47</v>
      </c>
      <c r="AV15" s="120" t="s">
        <v>59</v>
      </c>
      <c r="AW15" s="120" t="s">
        <v>58</v>
      </c>
      <c r="AX15" s="120" t="s">
        <v>64</v>
      </c>
      <c r="AY15" s="120" t="s">
        <v>55</v>
      </c>
      <c r="AZ15" s="120" t="s">
        <v>54</v>
      </c>
      <c r="BA15" s="120" t="s">
        <v>42</v>
      </c>
      <c r="BB15" s="120" t="s">
        <v>51</v>
      </c>
      <c r="BC15" s="120" t="s">
        <v>42</v>
      </c>
      <c r="BD15" s="120" t="s">
        <v>42</v>
      </c>
      <c r="BE15" s="120" t="s">
        <v>45</v>
      </c>
      <c r="BF15" s="120" t="s">
        <v>60</v>
      </c>
      <c r="BG15" s="120" t="s">
        <v>39</v>
      </c>
      <c r="BH15" s="120" t="s">
        <v>44</v>
      </c>
      <c r="BI15" s="120" t="s">
        <v>46</v>
      </c>
      <c r="BJ15" s="120" t="s">
        <v>56</v>
      </c>
      <c r="BK15" s="120" t="s">
        <v>71</v>
      </c>
      <c r="BL15" s="120" t="s">
        <v>43</v>
      </c>
      <c r="BM15" s="120" t="s">
        <v>42</v>
      </c>
      <c r="BN15" s="120" t="s">
        <v>42</v>
      </c>
      <c r="BO15" s="120" t="s">
        <v>55</v>
      </c>
      <c r="BP15" s="120" t="s">
        <v>42</v>
      </c>
      <c r="BQ15" s="120" t="s">
        <v>49</v>
      </c>
      <c r="BR15" s="120" t="s">
        <v>47</v>
      </c>
      <c r="BS15" s="120" t="s">
        <v>42</v>
      </c>
      <c r="BT15" s="120" t="s">
        <v>52</v>
      </c>
      <c r="BU15" s="120" t="s">
        <v>75</v>
      </c>
      <c r="BV15" s="120" t="s">
        <v>54</v>
      </c>
      <c r="BW15" s="120" t="s">
        <v>59</v>
      </c>
      <c r="BX15" s="120" t="s">
        <v>75</v>
      </c>
      <c r="BY15" s="120" t="s">
        <v>58</v>
      </c>
      <c r="BZ15" s="120" t="s">
        <v>49</v>
      </c>
      <c r="CA15" s="120" t="s">
        <v>55</v>
      </c>
      <c r="CB15" s="120" t="s">
        <v>61</v>
      </c>
      <c r="CC15" s="120" t="s">
        <v>60</v>
      </c>
      <c r="CD15" s="120" t="s">
        <v>42</v>
      </c>
      <c r="CE15" s="120" t="s">
        <v>71</v>
      </c>
      <c r="CF15" s="120" t="s">
        <v>42</v>
      </c>
      <c r="CG15" s="120" t="s">
        <v>72</v>
      </c>
      <c r="CH15" s="120" t="s">
        <v>66</v>
      </c>
      <c r="CI15" s="120" t="s">
        <v>44</v>
      </c>
      <c r="CJ15" s="120" t="s">
        <v>46</v>
      </c>
      <c r="CK15" s="120" t="s">
        <v>39</v>
      </c>
      <c r="CL15" s="120" t="s">
        <v>56</v>
      </c>
      <c r="CM15" s="120" t="s">
        <v>50</v>
      </c>
      <c r="CN15" s="120" t="s">
        <v>51</v>
      </c>
      <c r="CO15" s="120" t="s">
        <v>40</v>
      </c>
      <c r="CP15" s="120" t="s">
        <v>328</v>
      </c>
      <c r="CQ15" s="120" t="s">
        <v>45</v>
      </c>
      <c r="CR15" s="120" t="s">
        <v>47</v>
      </c>
      <c r="CS15" s="120" t="s">
        <v>52</v>
      </c>
      <c r="CT15" s="120" t="s">
        <v>55</v>
      </c>
      <c r="CU15" s="120" t="s">
        <v>43</v>
      </c>
      <c r="CV15" s="120" t="s">
        <v>56</v>
      </c>
      <c r="CW15" s="120" t="s">
        <v>66</v>
      </c>
      <c r="CX15" s="120" t="s">
        <v>57</v>
      </c>
      <c r="CY15" s="120" t="s">
        <v>326</v>
      </c>
      <c r="CZ15" s="120" t="s">
        <v>75</v>
      </c>
      <c r="DA15" s="120" t="s">
        <v>61</v>
      </c>
      <c r="DB15" s="120" t="s">
        <v>68</v>
      </c>
      <c r="DC15" s="120" t="s">
        <v>42</v>
      </c>
      <c r="DD15" s="120" t="s">
        <v>71</v>
      </c>
      <c r="DE15" s="120" t="s">
        <v>42</v>
      </c>
      <c r="DF15" s="120" t="s">
        <v>44</v>
      </c>
      <c r="DG15" s="120" t="s">
        <v>42</v>
      </c>
      <c r="DH15" s="120" t="s">
        <v>328</v>
      </c>
      <c r="DI15" s="120" t="s">
        <v>49</v>
      </c>
      <c r="DJ15" s="120" t="s">
        <v>40</v>
      </c>
      <c r="DK15" s="120" t="s">
        <v>47</v>
      </c>
      <c r="DL15" s="120" t="s">
        <v>42</v>
      </c>
      <c r="DM15" s="120" t="s">
        <v>43</v>
      </c>
      <c r="DN15" s="120" t="s">
        <v>42</v>
      </c>
      <c r="DO15" s="120" t="s">
        <v>68</v>
      </c>
      <c r="DP15" s="120" t="s">
        <v>60</v>
      </c>
      <c r="DQ15" s="120" t="s">
        <v>56</v>
      </c>
      <c r="DR15" s="120" t="s">
        <v>50</v>
      </c>
      <c r="DS15" s="120" t="s">
        <v>55</v>
      </c>
      <c r="DT15" s="120" t="s">
        <v>54</v>
      </c>
      <c r="DU15" s="120" t="s">
        <v>71</v>
      </c>
      <c r="DV15" s="120" t="s">
        <v>52</v>
      </c>
      <c r="DW15" s="120" t="s">
        <v>46</v>
      </c>
      <c r="DX15" s="120" t="s">
        <v>59</v>
      </c>
      <c r="DY15" s="120" t="s">
        <v>45</v>
      </c>
      <c r="DZ15" s="120" t="s">
        <v>67</v>
      </c>
      <c r="EA15" s="120" t="s">
        <v>44</v>
      </c>
      <c r="EB15" s="120" t="s">
        <v>49</v>
      </c>
      <c r="EC15" s="120" t="s">
        <v>46</v>
      </c>
      <c r="ED15" s="120" t="s">
        <v>42</v>
      </c>
      <c r="EE15" s="120" t="s">
        <v>52</v>
      </c>
      <c r="EF15" s="120" t="s">
        <v>39</v>
      </c>
      <c r="EG15" s="120" t="s">
        <v>68</v>
      </c>
      <c r="EH15" s="120" t="s">
        <v>56</v>
      </c>
      <c r="EI15" s="120" t="s">
        <v>70</v>
      </c>
      <c r="EJ15" s="120" t="s">
        <v>50</v>
      </c>
      <c r="EK15" s="120" t="s">
        <v>48</v>
      </c>
      <c r="EL15" s="120" t="s">
        <v>45</v>
      </c>
      <c r="EM15" s="120" t="s">
        <v>71</v>
      </c>
      <c r="EN15" s="120" t="s">
        <v>54</v>
      </c>
      <c r="EO15" s="120" t="s">
        <v>64</v>
      </c>
      <c r="EP15" s="120" t="s">
        <v>75</v>
      </c>
      <c r="EQ15" s="120" t="s">
        <v>55</v>
      </c>
      <c r="ER15" s="120" t="s">
        <v>52</v>
      </c>
      <c r="ES15" s="120" t="s">
        <v>55</v>
      </c>
      <c r="ET15" s="120" t="s">
        <v>47</v>
      </c>
      <c r="EU15" s="120" t="s">
        <v>45</v>
      </c>
      <c r="EV15" s="120" t="s">
        <v>71</v>
      </c>
      <c r="EW15" s="120" t="s">
        <v>49</v>
      </c>
      <c r="EX15" s="120" t="s">
        <v>39</v>
      </c>
      <c r="EY15" s="120" t="s">
        <v>40</v>
      </c>
      <c r="EZ15" s="120" t="s">
        <v>330</v>
      </c>
      <c r="FA15" s="120" t="s">
        <v>353</v>
      </c>
      <c r="FB15" s="120" t="s">
        <v>52</v>
      </c>
    </row>
    <row r="16" ht="22.5" customHeight="1">
      <c r="A16" s="121">
        <v>45916.20717273148</v>
      </c>
      <c r="B16" s="120" t="s">
        <v>355</v>
      </c>
      <c r="C16" s="120" t="s">
        <v>22</v>
      </c>
      <c r="D16" s="120" t="s">
        <v>63</v>
      </c>
      <c r="E16" s="120" t="s">
        <v>39</v>
      </c>
      <c r="F16" s="120" t="s">
        <v>40</v>
      </c>
      <c r="G16" s="120" t="s">
        <v>70</v>
      </c>
      <c r="H16" s="120" t="s">
        <v>42</v>
      </c>
      <c r="I16" s="120" t="s">
        <v>43</v>
      </c>
      <c r="J16" s="120" t="s">
        <v>74</v>
      </c>
      <c r="K16" s="120" t="s">
        <v>327</v>
      </c>
      <c r="L16" s="120" t="s">
        <v>44</v>
      </c>
      <c r="M16" s="120" t="s">
        <v>45</v>
      </c>
      <c r="N16" s="120" t="s">
        <v>46</v>
      </c>
      <c r="O16" s="120" t="s">
        <v>42</v>
      </c>
      <c r="P16" s="120" t="s">
        <v>66</v>
      </c>
      <c r="Q16" s="120" t="s">
        <v>68</v>
      </c>
      <c r="R16" s="120" t="s">
        <v>49</v>
      </c>
      <c r="S16" s="120" t="s">
        <v>50</v>
      </c>
      <c r="T16" s="120" t="s">
        <v>51</v>
      </c>
      <c r="U16" s="120" t="s">
        <v>52</v>
      </c>
      <c r="V16" s="120" t="s">
        <v>54</v>
      </c>
      <c r="W16" s="120" t="s">
        <v>40</v>
      </c>
      <c r="X16" s="120" t="s">
        <v>47</v>
      </c>
      <c r="Y16" s="120" t="s">
        <v>55</v>
      </c>
      <c r="Z16" s="120" t="s">
        <v>56</v>
      </c>
      <c r="AA16" s="120" t="s">
        <v>43</v>
      </c>
      <c r="AB16" s="120" t="s">
        <v>57</v>
      </c>
      <c r="AC16" s="120" t="s">
        <v>46</v>
      </c>
      <c r="AD16" s="120" t="s">
        <v>45</v>
      </c>
      <c r="AE16" s="120" t="s">
        <v>59</v>
      </c>
      <c r="AF16" s="120" t="s">
        <v>72</v>
      </c>
      <c r="AG16" s="120" t="s">
        <v>39</v>
      </c>
      <c r="AH16" s="120" t="s">
        <v>68</v>
      </c>
      <c r="AI16" s="120" t="s">
        <v>71</v>
      </c>
      <c r="AJ16" s="120" t="s">
        <v>60</v>
      </c>
      <c r="AK16" s="120" t="s">
        <v>49</v>
      </c>
      <c r="AL16" s="120" t="s">
        <v>61</v>
      </c>
      <c r="AM16" s="120" t="s">
        <v>52</v>
      </c>
      <c r="AN16" s="120" t="s">
        <v>52</v>
      </c>
      <c r="AO16" s="120" t="s">
        <v>328</v>
      </c>
      <c r="AP16" s="120" t="s">
        <v>42</v>
      </c>
      <c r="AQ16" s="120" t="s">
        <v>44</v>
      </c>
      <c r="AR16" s="120" t="s">
        <v>49</v>
      </c>
      <c r="AS16" s="120" t="s">
        <v>60</v>
      </c>
      <c r="AT16" s="120" t="s">
        <v>61</v>
      </c>
      <c r="AU16" s="120" t="s">
        <v>47</v>
      </c>
      <c r="AV16" s="120" t="s">
        <v>59</v>
      </c>
      <c r="AW16" s="120" t="s">
        <v>58</v>
      </c>
      <c r="AX16" s="120" t="s">
        <v>64</v>
      </c>
      <c r="AY16" s="120" t="s">
        <v>55</v>
      </c>
      <c r="AZ16" s="120" t="s">
        <v>54</v>
      </c>
      <c r="BA16" s="120" t="s">
        <v>46</v>
      </c>
      <c r="BB16" s="120" t="s">
        <v>42</v>
      </c>
      <c r="BC16" s="120" t="s">
        <v>43</v>
      </c>
      <c r="BD16" s="120" t="s">
        <v>40</v>
      </c>
      <c r="BE16" s="120" t="s">
        <v>45</v>
      </c>
      <c r="BF16" s="120" t="s">
        <v>60</v>
      </c>
      <c r="BG16" s="120" t="s">
        <v>39</v>
      </c>
      <c r="BH16" s="120" t="s">
        <v>44</v>
      </c>
      <c r="BI16" s="120" t="s">
        <v>42</v>
      </c>
      <c r="BJ16" s="120" t="s">
        <v>56</v>
      </c>
      <c r="BK16" s="120" t="s">
        <v>71</v>
      </c>
      <c r="BL16" s="120" t="s">
        <v>43</v>
      </c>
      <c r="BM16" s="120" t="s">
        <v>42</v>
      </c>
      <c r="BN16" s="120" t="s">
        <v>66</v>
      </c>
      <c r="BO16" s="120" t="s">
        <v>55</v>
      </c>
      <c r="BP16" s="120" t="s">
        <v>326</v>
      </c>
      <c r="BQ16" s="120" t="s">
        <v>49</v>
      </c>
      <c r="BR16" s="120" t="s">
        <v>47</v>
      </c>
      <c r="BS16" s="120" t="s">
        <v>42</v>
      </c>
      <c r="BT16" s="120" t="s">
        <v>52</v>
      </c>
      <c r="BU16" s="120" t="s">
        <v>42</v>
      </c>
      <c r="BV16" s="120" t="s">
        <v>42</v>
      </c>
      <c r="BW16" s="120" t="s">
        <v>59</v>
      </c>
      <c r="BX16" s="120" t="s">
        <v>42</v>
      </c>
      <c r="BY16" s="120" t="s">
        <v>58</v>
      </c>
      <c r="BZ16" s="120" t="s">
        <v>49</v>
      </c>
      <c r="CA16" s="120" t="s">
        <v>42</v>
      </c>
      <c r="CB16" s="120" t="s">
        <v>61</v>
      </c>
      <c r="CC16" s="120" t="s">
        <v>60</v>
      </c>
      <c r="CD16" s="120" t="s">
        <v>64</v>
      </c>
      <c r="CE16" s="120" t="s">
        <v>71</v>
      </c>
      <c r="CF16" s="120" t="s">
        <v>59</v>
      </c>
      <c r="CG16" s="120" t="s">
        <v>72</v>
      </c>
      <c r="CH16" s="120" t="s">
        <v>66</v>
      </c>
      <c r="CI16" s="120" t="s">
        <v>44</v>
      </c>
      <c r="CJ16" s="120" t="s">
        <v>46</v>
      </c>
      <c r="CK16" s="120" t="s">
        <v>42</v>
      </c>
      <c r="CL16" s="120" t="s">
        <v>42</v>
      </c>
      <c r="CM16" s="120" t="s">
        <v>50</v>
      </c>
      <c r="CN16" s="120" t="s">
        <v>51</v>
      </c>
      <c r="CO16" s="120" t="s">
        <v>40</v>
      </c>
      <c r="CP16" s="120" t="s">
        <v>74</v>
      </c>
      <c r="CQ16" s="120" t="s">
        <v>45</v>
      </c>
      <c r="CR16" s="120" t="s">
        <v>46</v>
      </c>
      <c r="CS16" s="120" t="s">
        <v>52</v>
      </c>
      <c r="CT16" s="120" t="s">
        <v>55</v>
      </c>
      <c r="CU16" s="120" t="s">
        <v>43</v>
      </c>
      <c r="CV16" s="120" t="s">
        <v>56</v>
      </c>
      <c r="CW16" s="120" t="s">
        <v>42</v>
      </c>
      <c r="CX16" s="120" t="s">
        <v>57</v>
      </c>
      <c r="CY16" s="120" t="s">
        <v>326</v>
      </c>
      <c r="CZ16" s="120" t="s">
        <v>75</v>
      </c>
      <c r="DA16" s="120" t="s">
        <v>61</v>
      </c>
      <c r="DB16" s="120" t="s">
        <v>42</v>
      </c>
      <c r="DC16" s="120" t="s">
        <v>60</v>
      </c>
      <c r="DD16" s="120" t="s">
        <v>71</v>
      </c>
      <c r="DE16" s="120" t="s">
        <v>39</v>
      </c>
      <c r="DF16" s="120" t="s">
        <v>44</v>
      </c>
      <c r="DG16" s="120" t="s">
        <v>40</v>
      </c>
      <c r="DH16" s="120" t="s">
        <v>48</v>
      </c>
      <c r="DI16" s="120" t="s">
        <v>49</v>
      </c>
      <c r="DJ16" s="120" t="s">
        <v>40</v>
      </c>
      <c r="DK16" s="120" t="s">
        <v>39</v>
      </c>
      <c r="DL16" s="120" t="s">
        <v>42</v>
      </c>
      <c r="DM16" s="120" t="s">
        <v>42</v>
      </c>
      <c r="DN16" s="120" t="s">
        <v>44</v>
      </c>
      <c r="DO16" s="120" t="s">
        <v>68</v>
      </c>
      <c r="DP16" s="120" t="s">
        <v>60</v>
      </c>
      <c r="DQ16" s="120" t="s">
        <v>56</v>
      </c>
      <c r="DR16" s="120" t="s">
        <v>50</v>
      </c>
      <c r="DS16" s="120" t="s">
        <v>55</v>
      </c>
      <c r="DT16" s="120" t="s">
        <v>54</v>
      </c>
      <c r="DU16" s="120" t="s">
        <v>71</v>
      </c>
      <c r="DV16" s="120" t="s">
        <v>52</v>
      </c>
      <c r="DW16" s="120" t="s">
        <v>46</v>
      </c>
      <c r="DX16" s="120" t="s">
        <v>59</v>
      </c>
      <c r="DY16" s="120" t="s">
        <v>45</v>
      </c>
      <c r="DZ16" s="120" t="s">
        <v>327</v>
      </c>
      <c r="EA16" s="120" t="s">
        <v>44</v>
      </c>
      <c r="EB16" s="120" t="s">
        <v>49</v>
      </c>
      <c r="EC16" s="120" t="s">
        <v>46</v>
      </c>
      <c r="ED16" s="120" t="s">
        <v>42</v>
      </c>
      <c r="EE16" s="120" t="s">
        <v>52</v>
      </c>
      <c r="EF16" s="120" t="s">
        <v>39</v>
      </c>
      <c r="EG16" s="120" t="s">
        <v>68</v>
      </c>
      <c r="EH16" s="120" t="s">
        <v>56</v>
      </c>
      <c r="EI16" s="120" t="s">
        <v>40</v>
      </c>
      <c r="EJ16" s="120" t="s">
        <v>42</v>
      </c>
      <c r="EK16" s="120" t="s">
        <v>42</v>
      </c>
      <c r="EL16" s="120" t="s">
        <v>45</v>
      </c>
      <c r="EM16" s="120" t="s">
        <v>71</v>
      </c>
      <c r="EN16" s="120" t="s">
        <v>54</v>
      </c>
      <c r="EO16" s="120" t="s">
        <v>64</v>
      </c>
      <c r="EP16" s="120" t="s">
        <v>75</v>
      </c>
      <c r="EQ16" s="120" t="s">
        <v>42</v>
      </c>
      <c r="ER16" s="120" t="s">
        <v>52</v>
      </c>
      <c r="ES16" s="120" t="s">
        <v>40</v>
      </c>
      <c r="ET16" s="120" t="s">
        <v>44</v>
      </c>
      <c r="EU16" s="120" t="s">
        <v>46</v>
      </c>
      <c r="EV16" s="120" t="s">
        <v>45</v>
      </c>
      <c r="EW16" s="120" t="s">
        <v>39</v>
      </c>
      <c r="EX16" s="120" t="s">
        <v>55</v>
      </c>
      <c r="EY16" s="120" t="s">
        <v>56</v>
      </c>
      <c r="EZ16" s="120" t="s">
        <v>329</v>
      </c>
      <c r="FA16" s="120" t="s">
        <v>333</v>
      </c>
      <c r="FB16" s="120" t="s">
        <v>52</v>
      </c>
    </row>
    <row r="17" ht="22.5" customHeight="1">
      <c r="A17" s="121">
        <v>45916.221705185184</v>
      </c>
      <c r="B17" s="120" t="s">
        <v>356</v>
      </c>
      <c r="C17" s="120" t="s">
        <v>14</v>
      </c>
      <c r="D17" s="120" t="s">
        <v>63</v>
      </c>
      <c r="E17" s="120" t="s">
        <v>39</v>
      </c>
      <c r="F17" s="120" t="s">
        <v>40</v>
      </c>
      <c r="G17" s="120" t="s">
        <v>70</v>
      </c>
      <c r="H17" s="120" t="s">
        <v>42</v>
      </c>
      <c r="I17" s="120" t="s">
        <v>43</v>
      </c>
      <c r="J17" s="120" t="s">
        <v>42</v>
      </c>
      <c r="K17" s="120" t="s">
        <v>327</v>
      </c>
      <c r="L17" s="120" t="s">
        <v>44</v>
      </c>
      <c r="M17" s="120" t="s">
        <v>42</v>
      </c>
      <c r="N17" s="120" t="s">
        <v>46</v>
      </c>
      <c r="O17" s="120" t="s">
        <v>75</v>
      </c>
      <c r="P17" s="120" t="s">
        <v>42</v>
      </c>
      <c r="Q17" s="120" t="s">
        <v>42</v>
      </c>
      <c r="R17" s="120" t="s">
        <v>49</v>
      </c>
      <c r="S17" s="120" t="s">
        <v>58</v>
      </c>
      <c r="T17" s="120" t="s">
        <v>51</v>
      </c>
      <c r="U17" s="120" t="s">
        <v>52</v>
      </c>
      <c r="V17" s="120" t="s">
        <v>42</v>
      </c>
      <c r="W17" s="120" t="s">
        <v>40</v>
      </c>
      <c r="X17" s="120" t="s">
        <v>47</v>
      </c>
      <c r="Y17" s="120" t="s">
        <v>55</v>
      </c>
      <c r="Z17" s="120" t="s">
        <v>56</v>
      </c>
      <c r="AA17" s="120" t="s">
        <v>42</v>
      </c>
      <c r="AB17" s="120" t="s">
        <v>75</v>
      </c>
      <c r="AC17" s="120" t="s">
        <v>42</v>
      </c>
      <c r="AD17" s="120" t="s">
        <v>45</v>
      </c>
      <c r="AE17" s="120" t="s">
        <v>59</v>
      </c>
      <c r="AF17" s="120" t="s">
        <v>42</v>
      </c>
      <c r="AG17" s="120" t="s">
        <v>39</v>
      </c>
      <c r="AH17" s="120" t="s">
        <v>42</v>
      </c>
      <c r="AI17" s="120" t="s">
        <v>71</v>
      </c>
      <c r="AJ17" s="120" t="s">
        <v>60</v>
      </c>
      <c r="AK17" s="120" t="s">
        <v>49</v>
      </c>
      <c r="AL17" s="120" t="s">
        <v>61</v>
      </c>
      <c r="AM17" s="120" t="s">
        <v>42</v>
      </c>
      <c r="AN17" s="120" t="s">
        <v>52</v>
      </c>
      <c r="AO17" s="120" t="s">
        <v>67</v>
      </c>
      <c r="AP17" s="120" t="s">
        <v>39</v>
      </c>
      <c r="AQ17" s="120" t="s">
        <v>44</v>
      </c>
      <c r="AR17" s="120" t="s">
        <v>49</v>
      </c>
      <c r="AS17" s="120" t="s">
        <v>63</v>
      </c>
      <c r="AT17" s="120" t="s">
        <v>61</v>
      </c>
      <c r="AU17" s="120" t="s">
        <v>47</v>
      </c>
      <c r="AV17" s="120" t="s">
        <v>42</v>
      </c>
      <c r="AW17" s="120" t="s">
        <v>58</v>
      </c>
      <c r="AX17" s="120" t="s">
        <v>64</v>
      </c>
      <c r="AY17" s="120" t="s">
        <v>55</v>
      </c>
      <c r="AZ17" s="120" t="s">
        <v>42</v>
      </c>
      <c r="BA17" s="120" t="s">
        <v>46</v>
      </c>
      <c r="BB17" s="120" t="s">
        <v>57</v>
      </c>
      <c r="BC17" s="120" t="s">
        <v>42</v>
      </c>
      <c r="BD17" s="120" t="s">
        <v>40</v>
      </c>
      <c r="BE17" s="120" t="s">
        <v>42</v>
      </c>
      <c r="BF17" s="120" t="s">
        <v>60</v>
      </c>
      <c r="BG17" s="120" t="s">
        <v>39</v>
      </c>
      <c r="BH17" s="120" t="s">
        <v>42</v>
      </c>
      <c r="BI17" s="120" t="s">
        <v>46</v>
      </c>
      <c r="BJ17" s="120" t="s">
        <v>56</v>
      </c>
      <c r="BK17" s="120" t="s">
        <v>42</v>
      </c>
      <c r="BL17" s="120" t="s">
        <v>43</v>
      </c>
      <c r="BM17" s="120" t="s">
        <v>63</v>
      </c>
      <c r="BN17" s="120" t="s">
        <v>42</v>
      </c>
      <c r="BO17" s="120" t="s">
        <v>55</v>
      </c>
      <c r="BP17" s="120" t="s">
        <v>42</v>
      </c>
      <c r="BQ17" s="120" t="s">
        <v>42</v>
      </c>
      <c r="BR17" s="120" t="s">
        <v>47</v>
      </c>
      <c r="BS17" s="120" t="s">
        <v>42</v>
      </c>
      <c r="BT17" s="120" t="s">
        <v>52</v>
      </c>
      <c r="BU17" s="120" t="s">
        <v>75</v>
      </c>
      <c r="BV17" s="120" t="s">
        <v>57</v>
      </c>
      <c r="BW17" s="120" t="s">
        <v>59</v>
      </c>
      <c r="BX17" s="120" t="s">
        <v>42</v>
      </c>
      <c r="BY17" s="120" t="s">
        <v>58</v>
      </c>
      <c r="BZ17" s="120" t="s">
        <v>49</v>
      </c>
      <c r="CA17" s="120" t="s">
        <v>52</v>
      </c>
      <c r="CB17" s="120" t="s">
        <v>61</v>
      </c>
      <c r="CC17" s="120" t="s">
        <v>60</v>
      </c>
      <c r="CD17" s="120" t="s">
        <v>64</v>
      </c>
      <c r="CE17" s="120" t="s">
        <v>71</v>
      </c>
      <c r="CF17" s="120" t="s">
        <v>42</v>
      </c>
      <c r="CG17" s="120" t="s">
        <v>72</v>
      </c>
      <c r="CH17" s="120" t="s">
        <v>67</v>
      </c>
      <c r="CI17" s="120" t="s">
        <v>44</v>
      </c>
      <c r="CJ17" s="120" t="s">
        <v>46</v>
      </c>
      <c r="CK17" s="120" t="s">
        <v>42</v>
      </c>
      <c r="CL17" s="120" t="s">
        <v>47</v>
      </c>
      <c r="CM17" s="120" t="s">
        <v>54</v>
      </c>
      <c r="CN17" s="120" t="s">
        <v>42</v>
      </c>
      <c r="CO17" s="120" t="s">
        <v>40</v>
      </c>
      <c r="CP17" s="120" t="s">
        <v>42</v>
      </c>
      <c r="CQ17" s="120" t="s">
        <v>42</v>
      </c>
      <c r="CR17" s="120" t="s">
        <v>42</v>
      </c>
      <c r="CS17" s="120" t="s">
        <v>52</v>
      </c>
      <c r="CT17" s="120" t="s">
        <v>55</v>
      </c>
      <c r="CU17" s="120" t="s">
        <v>43</v>
      </c>
      <c r="CV17" s="120" t="s">
        <v>42</v>
      </c>
      <c r="CW17" s="120" t="s">
        <v>58</v>
      </c>
      <c r="CX17" s="120" t="s">
        <v>57</v>
      </c>
      <c r="CY17" s="120" t="s">
        <v>326</v>
      </c>
      <c r="CZ17" s="120" t="s">
        <v>75</v>
      </c>
      <c r="DA17" s="120" t="s">
        <v>61</v>
      </c>
      <c r="DB17" s="120" t="s">
        <v>68</v>
      </c>
      <c r="DC17" s="120" t="s">
        <v>42</v>
      </c>
      <c r="DD17" s="120" t="s">
        <v>42</v>
      </c>
      <c r="DE17" s="120" t="s">
        <v>39</v>
      </c>
      <c r="DF17" s="120" t="s">
        <v>42</v>
      </c>
      <c r="DG17" s="120" t="s">
        <v>42</v>
      </c>
      <c r="DH17" s="120" t="s">
        <v>42</v>
      </c>
      <c r="DI17" s="120" t="s">
        <v>49</v>
      </c>
      <c r="DJ17" s="120" t="s">
        <v>40</v>
      </c>
      <c r="DK17" s="120" t="s">
        <v>47</v>
      </c>
      <c r="DL17" s="120" t="s">
        <v>75</v>
      </c>
      <c r="DM17" s="120" t="s">
        <v>42</v>
      </c>
      <c r="DN17" s="120" t="s">
        <v>44</v>
      </c>
      <c r="DO17" s="120" t="s">
        <v>42</v>
      </c>
      <c r="DP17" s="120" t="s">
        <v>42</v>
      </c>
      <c r="DQ17" s="120" t="s">
        <v>42</v>
      </c>
      <c r="DR17" s="120" t="s">
        <v>50</v>
      </c>
      <c r="DS17" s="120" t="s">
        <v>55</v>
      </c>
      <c r="DT17" s="120" t="s">
        <v>54</v>
      </c>
      <c r="DU17" s="120" t="s">
        <v>71</v>
      </c>
      <c r="DV17" s="120" t="s">
        <v>52</v>
      </c>
      <c r="DW17" s="120" t="s">
        <v>46</v>
      </c>
      <c r="DX17" s="120" t="s">
        <v>59</v>
      </c>
      <c r="DY17" s="120" t="s">
        <v>45</v>
      </c>
      <c r="DZ17" s="120" t="s">
        <v>42</v>
      </c>
      <c r="EA17" s="120" t="s">
        <v>44</v>
      </c>
      <c r="EB17" s="120" t="s">
        <v>49</v>
      </c>
      <c r="EC17" s="120" t="s">
        <v>46</v>
      </c>
      <c r="ED17" s="120" t="s">
        <v>42</v>
      </c>
      <c r="EE17" s="120" t="s">
        <v>52</v>
      </c>
      <c r="EF17" s="120" t="s">
        <v>39</v>
      </c>
      <c r="EG17" s="120" t="s">
        <v>68</v>
      </c>
      <c r="EH17" s="120" t="s">
        <v>56</v>
      </c>
      <c r="EI17" s="120" t="s">
        <v>40</v>
      </c>
      <c r="EJ17" s="120" t="s">
        <v>42</v>
      </c>
      <c r="EK17" s="120" t="s">
        <v>48</v>
      </c>
      <c r="EL17" s="120" t="s">
        <v>45</v>
      </c>
      <c r="EM17" s="120" t="s">
        <v>42</v>
      </c>
      <c r="EN17" s="120" t="s">
        <v>42</v>
      </c>
      <c r="EO17" s="120" t="s">
        <v>42</v>
      </c>
      <c r="EP17" s="120" t="s">
        <v>42</v>
      </c>
      <c r="EQ17" s="120" t="s">
        <v>42</v>
      </c>
      <c r="ER17" s="120" t="s">
        <v>52</v>
      </c>
      <c r="ES17" s="120" t="s">
        <v>46</v>
      </c>
      <c r="ET17" s="120" t="s">
        <v>49</v>
      </c>
      <c r="EU17" s="120" t="s">
        <v>44</v>
      </c>
      <c r="EV17" s="120" t="s">
        <v>40</v>
      </c>
      <c r="EW17" s="120" t="s">
        <v>45</v>
      </c>
      <c r="EX17" s="120" t="s">
        <v>55</v>
      </c>
      <c r="EY17" s="120" t="s">
        <v>39</v>
      </c>
      <c r="EZ17" s="120" t="s">
        <v>338</v>
      </c>
      <c r="FA17" s="120" t="s">
        <v>357</v>
      </c>
      <c r="FB17" s="120" t="s">
        <v>52</v>
      </c>
    </row>
    <row r="18" ht="22.5" customHeight="1">
      <c r="A18" s="121">
        <v>45916.252569675926</v>
      </c>
      <c r="B18" s="120" t="s">
        <v>358</v>
      </c>
      <c r="C18" s="120" t="s">
        <v>3</v>
      </c>
      <c r="D18" s="120" t="s">
        <v>63</v>
      </c>
      <c r="E18" s="120" t="s">
        <v>39</v>
      </c>
      <c r="F18" s="120" t="s">
        <v>40</v>
      </c>
      <c r="G18" s="120" t="s">
        <v>70</v>
      </c>
      <c r="H18" s="120" t="s">
        <v>71</v>
      </c>
      <c r="I18" s="120" t="s">
        <v>43</v>
      </c>
      <c r="J18" s="120" t="s">
        <v>74</v>
      </c>
      <c r="K18" s="120" t="s">
        <v>327</v>
      </c>
      <c r="L18" s="120" t="s">
        <v>44</v>
      </c>
      <c r="M18" s="120" t="s">
        <v>45</v>
      </c>
      <c r="N18" s="120" t="s">
        <v>46</v>
      </c>
      <c r="O18" s="120" t="s">
        <v>42</v>
      </c>
      <c r="P18" s="120" t="s">
        <v>66</v>
      </c>
      <c r="Q18" s="120" t="s">
        <v>68</v>
      </c>
      <c r="R18" s="120" t="s">
        <v>49</v>
      </c>
      <c r="S18" s="120" t="s">
        <v>50</v>
      </c>
      <c r="T18" s="120" t="s">
        <v>51</v>
      </c>
      <c r="U18" s="120" t="s">
        <v>52</v>
      </c>
      <c r="V18" s="120" t="s">
        <v>54</v>
      </c>
      <c r="W18" s="120" t="s">
        <v>40</v>
      </c>
      <c r="X18" s="120" t="s">
        <v>47</v>
      </c>
      <c r="Y18" s="120" t="s">
        <v>55</v>
      </c>
      <c r="Z18" s="120" t="s">
        <v>56</v>
      </c>
      <c r="AA18" s="120" t="s">
        <v>43</v>
      </c>
      <c r="AB18" s="120" t="s">
        <v>75</v>
      </c>
      <c r="AC18" s="120" t="s">
        <v>46</v>
      </c>
      <c r="AD18" s="120" t="s">
        <v>45</v>
      </c>
      <c r="AE18" s="120" t="s">
        <v>59</v>
      </c>
      <c r="AF18" s="120" t="s">
        <v>41</v>
      </c>
      <c r="AG18" s="120" t="s">
        <v>39</v>
      </c>
      <c r="AH18" s="120" t="s">
        <v>68</v>
      </c>
      <c r="AI18" s="120" t="s">
        <v>42</v>
      </c>
      <c r="AJ18" s="120" t="s">
        <v>60</v>
      </c>
      <c r="AK18" s="120" t="s">
        <v>49</v>
      </c>
      <c r="AL18" s="120" t="s">
        <v>61</v>
      </c>
      <c r="AM18" s="120" t="s">
        <v>52</v>
      </c>
      <c r="AN18" s="120" t="s">
        <v>52</v>
      </c>
      <c r="AO18" s="120" t="s">
        <v>67</v>
      </c>
      <c r="AP18" s="120" t="s">
        <v>39</v>
      </c>
      <c r="AQ18" s="120" t="s">
        <v>44</v>
      </c>
      <c r="AR18" s="120" t="s">
        <v>49</v>
      </c>
      <c r="AS18" s="120" t="s">
        <v>60</v>
      </c>
      <c r="AT18" s="120" t="s">
        <v>61</v>
      </c>
      <c r="AU18" s="120" t="s">
        <v>47</v>
      </c>
      <c r="AV18" s="120" t="s">
        <v>59</v>
      </c>
      <c r="AW18" s="120" t="s">
        <v>58</v>
      </c>
      <c r="AX18" s="120" t="s">
        <v>64</v>
      </c>
      <c r="AY18" s="120" t="s">
        <v>55</v>
      </c>
      <c r="AZ18" s="120" t="s">
        <v>54</v>
      </c>
      <c r="BA18" s="120" t="s">
        <v>42</v>
      </c>
      <c r="BB18" s="120" t="s">
        <v>51</v>
      </c>
      <c r="BC18" s="120" t="s">
        <v>43</v>
      </c>
      <c r="BD18" s="120" t="s">
        <v>40</v>
      </c>
      <c r="BE18" s="120" t="s">
        <v>45</v>
      </c>
      <c r="BF18" s="120" t="s">
        <v>60</v>
      </c>
      <c r="BG18" s="120" t="s">
        <v>39</v>
      </c>
      <c r="BH18" s="120" t="s">
        <v>44</v>
      </c>
      <c r="BI18" s="120" t="s">
        <v>46</v>
      </c>
      <c r="BJ18" s="120" t="s">
        <v>56</v>
      </c>
      <c r="BK18" s="120" t="s">
        <v>71</v>
      </c>
      <c r="BL18" s="120" t="s">
        <v>43</v>
      </c>
      <c r="BM18" s="120" t="s">
        <v>74</v>
      </c>
      <c r="BN18" s="120" t="s">
        <v>66</v>
      </c>
      <c r="BO18" s="120" t="s">
        <v>55</v>
      </c>
      <c r="BP18" s="120" t="s">
        <v>326</v>
      </c>
      <c r="BQ18" s="120" t="s">
        <v>49</v>
      </c>
      <c r="BR18" s="120" t="s">
        <v>47</v>
      </c>
      <c r="BS18" s="120" t="s">
        <v>42</v>
      </c>
      <c r="BT18" s="120" t="s">
        <v>52</v>
      </c>
      <c r="BU18" s="120" t="s">
        <v>75</v>
      </c>
      <c r="BV18" s="120" t="s">
        <v>54</v>
      </c>
      <c r="BW18" s="120" t="s">
        <v>59</v>
      </c>
      <c r="BX18" s="120" t="s">
        <v>75</v>
      </c>
      <c r="BY18" s="120" t="s">
        <v>58</v>
      </c>
      <c r="BZ18" s="120" t="s">
        <v>49</v>
      </c>
      <c r="CA18" s="120" t="s">
        <v>55</v>
      </c>
      <c r="CB18" s="120" t="s">
        <v>61</v>
      </c>
      <c r="CC18" s="120" t="s">
        <v>60</v>
      </c>
      <c r="CD18" s="120" t="s">
        <v>64</v>
      </c>
      <c r="CE18" s="120" t="s">
        <v>71</v>
      </c>
      <c r="CF18" s="120" t="s">
        <v>57</v>
      </c>
      <c r="CG18" s="120" t="s">
        <v>72</v>
      </c>
      <c r="CH18" s="120" t="s">
        <v>66</v>
      </c>
      <c r="CI18" s="120" t="s">
        <v>44</v>
      </c>
      <c r="CJ18" s="120" t="s">
        <v>46</v>
      </c>
      <c r="CK18" s="120" t="s">
        <v>39</v>
      </c>
      <c r="CL18" s="120" t="s">
        <v>56</v>
      </c>
      <c r="CM18" s="120" t="s">
        <v>42</v>
      </c>
      <c r="CN18" s="120" t="s">
        <v>51</v>
      </c>
      <c r="CO18" s="120" t="s">
        <v>40</v>
      </c>
      <c r="CP18" s="120" t="s">
        <v>74</v>
      </c>
      <c r="CQ18" s="120" t="s">
        <v>45</v>
      </c>
      <c r="CR18" s="120" t="s">
        <v>42</v>
      </c>
      <c r="CS18" s="120" t="s">
        <v>52</v>
      </c>
      <c r="CT18" s="120" t="s">
        <v>42</v>
      </c>
      <c r="CU18" s="120" t="s">
        <v>43</v>
      </c>
      <c r="CV18" s="120" t="s">
        <v>63</v>
      </c>
      <c r="CW18" s="120" t="s">
        <v>66</v>
      </c>
      <c r="CX18" s="120" t="s">
        <v>57</v>
      </c>
      <c r="CY18" s="120" t="s">
        <v>326</v>
      </c>
      <c r="CZ18" s="120" t="s">
        <v>75</v>
      </c>
      <c r="DA18" s="120" t="s">
        <v>61</v>
      </c>
      <c r="DB18" s="120" t="s">
        <v>68</v>
      </c>
      <c r="DC18" s="120" t="s">
        <v>70</v>
      </c>
      <c r="DD18" s="120" t="s">
        <v>71</v>
      </c>
      <c r="DE18" s="120" t="s">
        <v>39</v>
      </c>
      <c r="DF18" s="120" t="s">
        <v>44</v>
      </c>
      <c r="DG18" s="120" t="s">
        <v>40</v>
      </c>
      <c r="DH18" s="120" t="s">
        <v>48</v>
      </c>
      <c r="DI18" s="120" t="s">
        <v>49</v>
      </c>
      <c r="DJ18" s="120" t="s">
        <v>40</v>
      </c>
      <c r="DK18" s="120" t="s">
        <v>47</v>
      </c>
      <c r="DL18" s="120" t="s">
        <v>326</v>
      </c>
      <c r="DM18" s="120" t="s">
        <v>61</v>
      </c>
      <c r="DN18" s="120" t="s">
        <v>44</v>
      </c>
      <c r="DO18" s="120" t="s">
        <v>68</v>
      </c>
      <c r="DP18" s="120" t="s">
        <v>60</v>
      </c>
      <c r="DQ18" s="120" t="s">
        <v>56</v>
      </c>
      <c r="DR18" s="120" t="s">
        <v>50</v>
      </c>
      <c r="DS18" s="120" t="s">
        <v>55</v>
      </c>
      <c r="DT18" s="120" t="s">
        <v>54</v>
      </c>
      <c r="DU18" s="120" t="s">
        <v>71</v>
      </c>
      <c r="DV18" s="120" t="s">
        <v>52</v>
      </c>
      <c r="DW18" s="120" t="s">
        <v>46</v>
      </c>
      <c r="DX18" s="120" t="s">
        <v>59</v>
      </c>
      <c r="DY18" s="120" t="s">
        <v>45</v>
      </c>
      <c r="DZ18" s="120" t="s">
        <v>327</v>
      </c>
      <c r="EA18" s="120" t="s">
        <v>44</v>
      </c>
      <c r="EB18" s="120" t="s">
        <v>49</v>
      </c>
      <c r="EC18" s="120" t="s">
        <v>46</v>
      </c>
      <c r="ED18" s="120" t="s">
        <v>61</v>
      </c>
      <c r="EE18" s="120" t="s">
        <v>52</v>
      </c>
      <c r="EF18" s="120" t="s">
        <v>39</v>
      </c>
      <c r="EG18" s="120" t="s">
        <v>68</v>
      </c>
      <c r="EH18" s="120" t="s">
        <v>56</v>
      </c>
      <c r="EI18" s="120" t="s">
        <v>40</v>
      </c>
      <c r="EJ18" s="120" t="s">
        <v>50</v>
      </c>
      <c r="EK18" s="120" t="s">
        <v>42</v>
      </c>
      <c r="EL18" s="120" t="s">
        <v>45</v>
      </c>
      <c r="EM18" s="120" t="s">
        <v>71</v>
      </c>
      <c r="EN18" s="120" t="s">
        <v>54</v>
      </c>
      <c r="EO18" s="120" t="s">
        <v>64</v>
      </c>
      <c r="EP18" s="120" t="s">
        <v>75</v>
      </c>
      <c r="EQ18" s="120" t="s">
        <v>55</v>
      </c>
      <c r="ER18" s="120" t="s">
        <v>52</v>
      </c>
      <c r="ES18" s="120" t="s">
        <v>46</v>
      </c>
      <c r="ET18" s="120" t="s">
        <v>40</v>
      </c>
      <c r="EU18" s="120" t="s">
        <v>44</v>
      </c>
      <c r="EV18" s="120" t="s">
        <v>71</v>
      </c>
      <c r="EW18" s="120" t="s">
        <v>55</v>
      </c>
      <c r="EX18" s="120" t="s">
        <v>49</v>
      </c>
      <c r="EY18" s="120" t="s">
        <v>39</v>
      </c>
      <c r="EZ18" s="120" t="s">
        <v>349</v>
      </c>
      <c r="FA18" s="120" t="s">
        <v>349</v>
      </c>
      <c r="FB18" s="120" t="s">
        <v>52</v>
      </c>
    </row>
    <row r="19" ht="22.5" customHeight="1">
      <c r="A19" s="121">
        <v>45916.26958228009</v>
      </c>
      <c r="B19" s="120" t="s">
        <v>359</v>
      </c>
      <c r="C19" s="120" t="s">
        <v>12</v>
      </c>
      <c r="D19" s="120" t="s">
        <v>63</v>
      </c>
      <c r="E19" s="120" t="s">
        <v>39</v>
      </c>
      <c r="F19" s="120" t="s">
        <v>40</v>
      </c>
      <c r="G19" s="120" t="s">
        <v>70</v>
      </c>
      <c r="H19" s="120" t="s">
        <v>71</v>
      </c>
      <c r="I19" s="120" t="s">
        <v>42</v>
      </c>
      <c r="J19" s="120" t="s">
        <v>74</v>
      </c>
      <c r="K19" s="120" t="s">
        <v>327</v>
      </c>
      <c r="L19" s="120" t="s">
        <v>44</v>
      </c>
      <c r="M19" s="120" t="s">
        <v>42</v>
      </c>
      <c r="N19" s="120" t="s">
        <v>46</v>
      </c>
      <c r="O19" s="120" t="s">
        <v>42</v>
      </c>
      <c r="P19" s="120" t="s">
        <v>66</v>
      </c>
      <c r="Q19" s="120" t="s">
        <v>68</v>
      </c>
      <c r="R19" s="120" t="s">
        <v>49</v>
      </c>
      <c r="S19" s="120" t="s">
        <v>42</v>
      </c>
      <c r="T19" s="120" t="s">
        <v>51</v>
      </c>
      <c r="U19" s="120" t="s">
        <v>52</v>
      </c>
      <c r="V19" s="120" t="s">
        <v>54</v>
      </c>
      <c r="W19" s="120" t="s">
        <v>328</v>
      </c>
      <c r="X19" s="120" t="s">
        <v>47</v>
      </c>
      <c r="Y19" s="120" t="s">
        <v>55</v>
      </c>
      <c r="Z19" s="120" t="s">
        <v>56</v>
      </c>
      <c r="AA19" s="120" t="s">
        <v>43</v>
      </c>
      <c r="AB19" s="120" t="s">
        <v>57</v>
      </c>
      <c r="AC19" s="120" t="s">
        <v>46</v>
      </c>
      <c r="AD19" s="120" t="s">
        <v>45</v>
      </c>
      <c r="AE19" s="120" t="s">
        <v>59</v>
      </c>
      <c r="AF19" s="120" t="s">
        <v>42</v>
      </c>
      <c r="AG19" s="120" t="s">
        <v>39</v>
      </c>
      <c r="AH19" s="120" t="s">
        <v>42</v>
      </c>
      <c r="AI19" s="120" t="s">
        <v>42</v>
      </c>
      <c r="AJ19" s="120" t="s">
        <v>42</v>
      </c>
      <c r="AK19" s="120" t="s">
        <v>49</v>
      </c>
      <c r="AL19" s="120" t="s">
        <v>42</v>
      </c>
      <c r="AM19" s="120" t="s">
        <v>52</v>
      </c>
      <c r="AN19" s="120" t="s">
        <v>52</v>
      </c>
      <c r="AO19" s="120" t="s">
        <v>42</v>
      </c>
      <c r="AP19" s="120" t="s">
        <v>39</v>
      </c>
      <c r="AQ19" s="120" t="s">
        <v>44</v>
      </c>
      <c r="AR19" s="120" t="s">
        <v>49</v>
      </c>
      <c r="AS19" s="120" t="s">
        <v>63</v>
      </c>
      <c r="AT19" s="120" t="s">
        <v>42</v>
      </c>
      <c r="AU19" s="120" t="s">
        <v>47</v>
      </c>
      <c r="AV19" s="120" t="s">
        <v>59</v>
      </c>
      <c r="AW19" s="120" t="s">
        <v>58</v>
      </c>
      <c r="AX19" s="120" t="s">
        <v>64</v>
      </c>
      <c r="AY19" s="120" t="s">
        <v>55</v>
      </c>
      <c r="AZ19" s="120" t="s">
        <v>54</v>
      </c>
      <c r="BA19" s="120" t="s">
        <v>46</v>
      </c>
      <c r="BB19" s="120" t="s">
        <v>51</v>
      </c>
      <c r="BC19" s="120" t="s">
        <v>66</v>
      </c>
      <c r="BD19" s="120" t="s">
        <v>42</v>
      </c>
      <c r="BE19" s="120" t="s">
        <v>45</v>
      </c>
      <c r="BF19" s="120" t="s">
        <v>60</v>
      </c>
      <c r="BG19" s="120" t="s">
        <v>39</v>
      </c>
      <c r="BH19" s="120" t="s">
        <v>44</v>
      </c>
      <c r="BI19" s="120" t="s">
        <v>46</v>
      </c>
      <c r="BJ19" s="120" t="s">
        <v>56</v>
      </c>
      <c r="BK19" s="120" t="s">
        <v>71</v>
      </c>
      <c r="BL19" s="120" t="s">
        <v>43</v>
      </c>
      <c r="BM19" s="120" t="s">
        <v>42</v>
      </c>
      <c r="BN19" s="120" t="s">
        <v>66</v>
      </c>
      <c r="BO19" s="120" t="s">
        <v>55</v>
      </c>
      <c r="BP19" s="120" t="s">
        <v>326</v>
      </c>
      <c r="BQ19" s="120" t="s">
        <v>49</v>
      </c>
      <c r="BR19" s="120" t="s">
        <v>47</v>
      </c>
      <c r="BS19" s="120" t="s">
        <v>70</v>
      </c>
      <c r="BT19" s="120" t="s">
        <v>52</v>
      </c>
      <c r="BU19" s="120" t="s">
        <v>75</v>
      </c>
      <c r="BV19" s="120" t="s">
        <v>42</v>
      </c>
      <c r="BW19" s="120" t="s">
        <v>59</v>
      </c>
      <c r="BX19" s="120" t="s">
        <v>42</v>
      </c>
      <c r="BY19" s="120" t="s">
        <v>58</v>
      </c>
      <c r="BZ19" s="120" t="s">
        <v>49</v>
      </c>
      <c r="CA19" s="120" t="s">
        <v>55</v>
      </c>
      <c r="CB19" s="120" t="s">
        <v>61</v>
      </c>
      <c r="CC19" s="120" t="s">
        <v>60</v>
      </c>
      <c r="CD19" s="120" t="s">
        <v>42</v>
      </c>
      <c r="CE19" s="120" t="s">
        <v>71</v>
      </c>
      <c r="CF19" s="120" t="s">
        <v>42</v>
      </c>
      <c r="CG19" s="120" t="s">
        <v>72</v>
      </c>
      <c r="CH19" s="120" t="s">
        <v>66</v>
      </c>
      <c r="CI19" s="120" t="s">
        <v>44</v>
      </c>
      <c r="CJ19" s="120" t="s">
        <v>46</v>
      </c>
      <c r="CK19" s="120" t="s">
        <v>42</v>
      </c>
      <c r="CL19" s="120" t="s">
        <v>42</v>
      </c>
      <c r="CM19" s="120" t="s">
        <v>42</v>
      </c>
      <c r="CN19" s="120" t="s">
        <v>51</v>
      </c>
      <c r="CO19" s="120" t="s">
        <v>40</v>
      </c>
      <c r="CP19" s="120" t="s">
        <v>74</v>
      </c>
      <c r="CQ19" s="120" t="s">
        <v>45</v>
      </c>
      <c r="CR19" s="120" t="s">
        <v>46</v>
      </c>
      <c r="CS19" s="120" t="s">
        <v>52</v>
      </c>
      <c r="CT19" s="120" t="s">
        <v>55</v>
      </c>
      <c r="CU19" s="120" t="s">
        <v>43</v>
      </c>
      <c r="CV19" s="120" t="s">
        <v>63</v>
      </c>
      <c r="CW19" s="120" t="s">
        <v>42</v>
      </c>
      <c r="CX19" s="120" t="s">
        <v>57</v>
      </c>
      <c r="CY19" s="120" t="s">
        <v>326</v>
      </c>
      <c r="CZ19" s="120" t="s">
        <v>75</v>
      </c>
      <c r="DA19" s="120" t="s">
        <v>61</v>
      </c>
      <c r="DB19" s="120" t="s">
        <v>42</v>
      </c>
      <c r="DC19" s="120" t="s">
        <v>70</v>
      </c>
      <c r="DD19" s="120" t="s">
        <v>71</v>
      </c>
      <c r="DE19" s="120" t="s">
        <v>39</v>
      </c>
      <c r="DF19" s="120" t="s">
        <v>44</v>
      </c>
      <c r="DG19" s="120" t="s">
        <v>40</v>
      </c>
      <c r="DH19" s="120" t="s">
        <v>48</v>
      </c>
      <c r="DI19" s="120" t="s">
        <v>49</v>
      </c>
      <c r="DJ19" s="120" t="s">
        <v>40</v>
      </c>
      <c r="DK19" s="120" t="s">
        <v>39</v>
      </c>
      <c r="DL19" s="120" t="s">
        <v>42</v>
      </c>
      <c r="DM19" s="120" t="s">
        <v>42</v>
      </c>
      <c r="DN19" s="120" t="s">
        <v>44</v>
      </c>
      <c r="DO19" s="120" t="s">
        <v>42</v>
      </c>
      <c r="DP19" s="120" t="s">
        <v>60</v>
      </c>
      <c r="DQ19" s="120" t="s">
        <v>42</v>
      </c>
      <c r="DR19" s="120" t="s">
        <v>50</v>
      </c>
      <c r="DS19" s="120" t="s">
        <v>55</v>
      </c>
      <c r="DT19" s="120" t="s">
        <v>54</v>
      </c>
      <c r="DU19" s="120" t="s">
        <v>71</v>
      </c>
      <c r="DV19" s="120" t="s">
        <v>52</v>
      </c>
      <c r="DW19" s="120" t="s">
        <v>46</v>
      </c>
      <c r="DX19" s="120" t="s">
        <v>59</v>
      </c>
      <c r="DY19" s="120" t="s">
        <v>45</v>
      </c>
      <c r="DZ19" s="120" t="s">
        <v>327</v>
      </c>
      <c r="EA19" s="120" t="s">
        <v>44</v>
      </c>
      <c r="EB19" s="120" t="s">
        <v>49</v>
      </c>
      <c r="EC19" s="120" t="s">
        <v>46</v>
      </c>
      <c r="ED19" s="120" t="s">
        <v>42</v>
      </c>
      <c r="EE19" s="120" t="s">
        <v>52</v>
      </c>
      <c r="EF19" s="120" t="s">
        <v>39</v>
      </c>
      <c r="EG19" s="120" t="s">
        <v>42</v>
      </c>
      <c r="EH19" s="120" t="s">
        <v>56</v>
      </c>
      <c r="EI19" s="120" t="s">
        <v>42</v>
      </c>
      <c r="EJ19" s="120" t="s">
        <v>42</v>
      </c>
      <c r="EK19" s="120" t="s">
        <v>48</v>
      </c>
      <c r="EL19" s="120" t="s">
        <v>45</v>
      </c>
      <c r="EM19" s="120" t="s">
        <v>42</v>
      </c>
      <c r="EN19" s="120" t="s">
        <v>54</v>
      </c>
      <c r="EO19" s="120" t="s">
        <v>51</v>
      </c>
      <c r="EP19" s="120" t="s">
        <v>75</v>
      </c>
      <c r="EQ19" s="120" t="s">
        <v>55</v>
      </c>
      <c r="ER19" s="120" t="s">
        <v>46</v>
      </c>
      <c r="ES19" s="120" t="s">
        <v>55</v>
      </c>
      <c r="ET19" s="120" t="s">
        <v>44</v>
      </c>
      <c r="EU19" s="120" t="s">
        <v>40</v>
      </c>
      <c r="EV19" s="120" t="s">
        <v>45</v>
      </c>
      <c r="EW19" s="120" t="s">
        <v>49</v>
      </c>
      <c r="EX19" s="120" t="s">
        <v>52</v>
      </c>
      <c r="EY19" s="120" t="s">
        <v>71</v>
      </c>
      <c r="EZ19" s="120" t="s">
        <v>335</v>
      </c>
      <c r="FA19" s="120" t="s">
        <v>360</v>
      </c>
      <c r="FB19" s="120" t="s">
        <v>46</v>
      </c>
    </row>
    <row r="20" ht="22.5" customHeight="1">
      <c r="A20" s="121">
        <v>45916.33912046296</v>
      </c>
      <c r="B20" s="120" t="s">
        <v>361</v>
      </c>
      <c r="C20" s="120" t="s">
        <v>4</v>
      </c>
      <c r="D20" s="120" t="s">
        <v>63</v>
      </c>
      <c r="E20" s="120" t="s">
        <v>39</v>
      </c>
      <c r="F20" s="120" t="s">
        <v>40</v>
      </c>
      <c r="G20" s="120" t="s">
        <v>70</v>
      </c>
      <c r="H20" s="120" t="s">
        <v>61</v>
      </c>
      <c r="I20" s="120" t="s">
        <v>43</v>
      </c>
      <c r="J20" s="120" t="s">
        <v>74</v>
      </c>
      <c r="K20" s="120" t="s">
        <v>42</v>
      </c>
      <c r="L20" s="120" t="s">
        <v>44</v>
      </c>
      <c r="M20" s="120" t="s">
        <v>45</v>
      </c>
      <c r="N20" s="120" t="s">
        <v>46</v>
      </c>
      <c r="O20" s="120" t="s">
        <v>75</v>
      </c>
      <c r="P20" s="120" t="s">
        <v>66</v>
      </c>
      <c r="Q20" s="120" t="s">
        <v>42</v>
      </c>
      <c r="R20" s="120" t="s">
        <v>49</v>
      </c>
      <c r="S20" s="120" t="s">
        <v>58</v>
      </c>
      <c r="T20" s="120" t="s">
        <v>51</v>
      </c>
      <c r="U20" s="120" t="s">
        <v>52</v>
      </c>
      <c r="V20" s="120" t="s">
        <v>54</v>
      </c>
      <c r="W20" s="120" t="s">
        <v>40</v>
      </c>
      <c r="X20" s="120" t="s">
        <v>47</v>
      </c>
      <c r="Y20" s="120" t="s">
        <v>55</v>
      </c>
      <c r="Z20" s="120" t="s">
        <v>56</v>
      </c>
      <c r="AA20" s="120" t="s">
        <v>43</v>
      </c>
      <c r="AB20" s="120" t="s">
        <v>75</v>
      </c>
      <c r="AC20" s="120" t="s">
        <v>46</v>
      </c>
      <c r="AD20" s="120" t="s">
        <v>45</v>
      </c>
      <c r="AE20" s="120" t="s">
        <v>59</v>
      </c>
      <c r="AF20" s="120" t="s">
        <v>72</v>
      </c>
      <c r="AG20" s="120" t="s">
        <v>39</v>
      </c>
      <c r="AH20" s="120" t="s">
        <v>68</v>
      </c>
      <c r="AI20" s="120" t="s">
        <v>71</v>
      </c>
      <c r="AJ20" s="120" t="s">
        <v>60</v>
      </c>
      <c r="AK20" s="120" t="s">
        <v>49</v>
      </c>
      <c r="AL20" s="120" t="s">
        <v>61</v>
      </c>
      <c r="AM20" s="120" t="s">
        <v>52</v>
      </c>
      <c r="AN20" s="120" t="s">
        <v>52</v>
      </c>
      <c r="AO20" s="120" t="s">
        <v>328</v>
      </c>
      <c r="AP20" s="120" t="s">
        <v>39</v>
      </c>
      <c r="AQ20" s="120" t="s">
        <v>44</v>
      </c>
      <c r="AR20" s="120" t="s">
        <v>49</v>
      </c>
      <c r="AS20" s="120" t="s">
        <v>63</v>
      </c>
      <c r="AT20" s="120" t="s">
        <v>61</v>
      </c>
      <c r="AU20" s="120" t="s">
        <v>47</v>
      </c>
      <c r="AV20" s="120" t="s">
        <v>70</v>
      </c>
      <c r="AW20" s="120" t="s">
        <v>58</v>
      </c>
      <c r="AX20" s="120" t="s">
        <v>64</v>
      </c>
      <c r="AY20" s="120" t="s">
        <v>55</v>
      </c>
      <c r="AZ20" s="120" t="s">
        <v>54</v>
      </c>
      <c r="BA20" s="120" t="s">
        <v>46</v>
      </c>
      <c r="BB20" s="120" t="s">
        <v>51</v>
      </c>
      <c r="BC20" s="120" t="s">
        <v>43</v>
      </c>
      <c r="BD20" s="120" t="s">
        <v>40</v>
      </c>
      <c r="BE20" s="120" t="s">
        <v>45</v>
      </c>
      <c r="BF20" s="120" t="s">
        <v>60</v>
      </c>
      <c r="BG20" s="120" t="s">
        <v>39</v>
      </c>
      <c r="BH20" s="120" t="s">
        <v>44</v>
      </c>
      <c r="BI20" s="120" t="s">
        <v>46</v>
      </c>
      <c r="BJ20" s="120" t="s">
        <v>56</v>
      </c>
      <c r="BK20" s="120" t="s">
        <v>71</v>
      </c>
      <c r="BL20" s="120" t="s">
        <v>43</v>
      </c>
      <c r="BM20" s="120" t="s">
        <v>74</v>
      </c>
      <c r="BN20" s="120" t="s">
        <v>66</v>
      </c>
      <c r="BO20" s="120" t="s">
        <v>55</v>
      </c>
      <c r="BP20" s="120" t="s">
        <v>326</v>
      </c>
      <c r="BQ20" s="120" t="s">
        <v>49</v>
      </c>
      <c r="BR20" s="120" t="s">
        <v>47</v>
      </c>
      <c r="BS20" s="120" t="s">
        <v>70</v>
      </c>
      <c r="BT20" s="120" t="s">
        <v>52</v>
      </c>
      <c r="BU20" s="120" t="s">
        <v>75</v>
      </c>
      <c r="BV20" s="120" t="s">
        <v>57</v>
      </c>
      <c r="BW20" s="120" t="s">
        <v>59</v>
      </c>
      <c r="BX20" s="120" t="s">
        <v>70</v>
      </c>
      <c r="BY20" s="120" t="s">
        <v>58</v>
      </c>
      <c r="BZ20" s="120" t="s">
        <v>49</v>
      </c>
      <c r="CA20" s="120" t="s">
        <v>42</v>
      </c>
      <c r="CB20" s="120" t="s">
        <v>61</v>
      </c>
      <c r="CC20" s="120" t="s">
        <v>60</v>
      </c>
      <c r="CD20" s="120" t="s">
        <v>64</v>
      </c>
      <c r="CE20" s="120" t="s">
        <v>71</v>
      </c>
      <c r="CF20" s="120" t="s">
        <v>59</v>
      </c>
      <c r="CG20" s="120" t="s">
        <v>72</v>
      </c>
      <c r="CH20" s="120" t="s">
        <v>66</v>
      </c>
      <c r="CI20" s="120" t="s">
        <v>44</v>
      </c>
      <c r="CJ20" s="120" t="s">
        <v>46</v>
      </c>
      <c r="CK20" s="120" t="s">
        <v>39</v>
      </c>
      <c r="CL20" s="120" t="s">
        <v>42</v>
      </c>
      <c r="CM20" s="120" t="s">
        <v>50</v>
      </c>
      <c r="CN20" s="120" t="s">
        <v>51</v>
      </c>
      <c r="CO20" s="120" t="s">
        <v>40</v>
      </c>
      <c r="CP20" s="120" t="s">
        <v>74</v>
      </c>
      <c r="CQ20" s="120" t="s">
        <v>45</v>
      </c>
      <c r="CR20" s="120" t="s">
        <v>46</v>
      </c>
      <c r="CS20" s="120" t="s">
        <v>52</v>
      </c>
      <c r="CT20" s="120" t="s">
        <v>55</v>
      </c>
      <c r="CU20" s="120" t="s">
        <v>43</v>
      </c>
      <c r="CV20" s="120" t="s">
        <v>56</v>
      </c>
      <c r="CW20" s="120" t="s">
        <v>66</v>
      </c>
      <c r="CX20" s="120" t="s">
        <v>38</v>
      </c>
      <c r="CY20" s="120" t="s">
        <v>72</v>
      </c>
      <c r="CZ20" s="120" t="s">
        <v>75</v>
      </c>
      <c r="DA20" s="120" t="s">
        <v>61</v>
      </c>
      <c r="DB20" s="120" t="s">
        <v>59</v>
      </c>
      <c r="DC20" s="120" t="s">
        <v>70</v>
      </c>
      <c r="DD20" s="120" t="s">
        <v>71</v>
      </c>
      <c r="DE20" s="120" t="s">
        <v>39</v>
      </c>
      <c r="DF20" s="120" t="s">
        <v>44</v>
      </c>
      <c r="DG20" s="120" t="s">
        <v>40</v>
      </c>
      <c r="DH20" s="120" t="s">
        <v>328</v>
      </c>
      <c r="DI20" s="120" t="s">
        <v>49</v>
      </c>
      <c r="DJ20" s="120" t="s">
        <v>40</v>
      </c>
      <c r="DK20" s="120" t="s">
        <v>39</v>
      </c>
      <c r="DL20" s="120" t="s">
        <v>75</v>
      </c>
      <c r="DM20" s="120" t="s">
        <v>42</v>
      </c>
      <c r="DN20" s="120" t="s">
        <v>44</v>
      </c>
      <c r="DO20" s="120" t="s">
        <v>68</v>
      </c>
      <c r="DP20" s="120" t="s">
        <v>72</v>
      </c>
      <c r="DQ20" s="120" t="s">
        <v>56</v>
      </c>
      <c r="DR20" s="120" t="s">
        <v>50</v>
      </c>
      <c r="DS20" s="120" t="s">
        <v>55</v>
      </c>
      <c r="DT20" s="120" t="s">
        <v>64</v>
      </c>
      <c r="DU20" s="120" t="s">
        <v>71</v>
      </c>
      <c r="DV20" s="120" t="s">
        <v>52</v>
      </c>
      <c r="DW20" s="120" t="s">
        <v>46</v>
      </c>
      <c r="DX20" s="120" t="s">
        <v>59</v>
      </c>
      <c r="DY20" s="120" t="s">
        <v>45</v>
      </c>
      <c r="DZ20" s="120" t="s">
        <v>327</v>
      </c>
      <c r="EA20" s="120" t="s">
        <v>44</v>
      </c>
      <c r="EB20" s="120" t="s">
        <v>49</v>
      </c>
      <c r="EC20" s="120" t="s">
        <v>46</v>
      </c>
      <c r="ED20" s="120" t="s">
        <v>61</v>
      </c>
      <c r="EE20" s="120" t="s">
        <v>52</v>
      </c>
      <c r="EF20" s="120" t="s">
        <v>39</v>
      </c>
      <c r="EG20" s="120" t="s">
        <v>68</v>
      </c>
      <c r="EH20" s="120" t="s">
        <v>56</v>
      </c>
      <c r="EI20" s="120" t="s">
        <v>40</v>
      </c>
      <c r="EJ20" s="120" t="s">
        <v>43</v>
      </c>
      <c r="EK20" s="120" t="s">
        <v>42</v>
      </c>
      <c r="EL20" s="120" t="s">
        <v>45</v>
      </c>
      <c r="EM20" s="120" t="s">
        <v>66</v>
      </c>
      <c r="EN20" s="120" t="s">
        <v>38</v>
      </c>
      <c r="EO20" s="120" t="s">
        <v>64</v>
      </c>
      <c r="EP20" s="120" t="s">
        <v>75</v>
      </c>
      <c r="EQ20" s="120" t="s">
        <v>55</v>
      </c>
      <c r="ER20" s="120" t="s">
        <v>44</v>
      </c>
      <c r="ES20" s="120" t="s">
        <v>55</v>
      </c>
      <c r="ET20" s="120" t="s">
        <v>46</v>
      </c>
      <c r="EU20" s="120" t="s">
        <v>39</v>
      </c>
      <c r="EV20" s="120" t="s">
        <v>49</v>
      </c>
      <c r="EW20" s="120" t="s">
        <v>52</v>
      </c>
      <c r="EX20" s="120" t="s">
        <v>45</v>
      </c>
      <c r="EY20" s="120" t="s">
        <v>40</v>
      </c>
      <c r="EZ20" s="120" t="s">
        <v>362</v>
      </c>
      <c r="FA20" s="120" t="s">
        <v>339</v>
      </c>
      <c r="FB20" s="120" t="s">
        <v>52</v>
      </c>
    </row>
    <row r="21" ht="22.5" customHeight="1">
      <c r="A21" s="121">
        <v>45916.361245821754</v>
      </c>
      <c r="B21" s="120" t="s">
        <v>363</v>
      </c>
      <c r="C21" s="120" t="s">
        <v>20</v>
      </c>
      <c r="D21" s="120" t="s">
        <v>42</v>
      </c>
      <c r="E21" s="120" t="s">
        <v>42</v>
      </c>
      <c r="F21" s="120" t="s">
        <v>40</v>
      </c>
      <c r="G21" s="120" t="s">
        <v>70</v>
      </c>
      <c r="H21" s="120" t="s">
        <v>42</v>
      </c>
      <c r="I21" s="120" t="s">
        <v>42</v>
      </c>
      <c r="J21" s="120" t="s">
        <v>42</v>
      </c>
      <c r="K21" s="120" t="s">
        <v>42</v>
      </c>
      <c r="L21" s="120" t="s">
        <v>44</v>
      </c>
      <c r="M21" s="120" t="s">
        <v>42</v>
      </c>
      <c r="N21" s="120" t="s">
        <v>46</v>
      </c>
      <c r="O21" s="120" t="s">
        <v>42</v>
      </c>
      <c r="P21" s="120" t="s">
        <v>42</v>
      </c>
      <c r="Q21" s="120" t="s">
        <v>68</v>
      </c>
      <c r="R21" s="120" t="s">
        <v>49</v>
      </c>
      <c r="S21" s="120" t="s">
        <v>58</v>
      </c>
      <c r="T21" s="120" t="s">
        <v>51</v>
      </c>
      <c r="U21" s="120" t="s">
        <v>42</v>
      </c>
      <c r="V21" s="120" t="s">
        <v>54</v>
      </c>
      <c r="W21" s="120" t="s">
        <v>40</v>
      </c>
      <c r="X21" s="120" t="s">
        <v>47</v>
      </c>
      <c r="Y21" s="120" t="s">
        <v>55</v>
      </c>
      <c r="Z21" s="120" t="s">
        <v>56</v>
      </c>
      <c r="AA21" s="120" t="s">
        <v>42</v>
      </c>
      <c r="AB21" s="120" t="s">
        <v>42</v>
      </c>
      <c r="AC21" s="120" t="s">
        <v>46</v>
      </c>
      <c r="AD21" s="120" t="s">
        <v>45</v>
      </c>
      <c r="AE21" s="120" t="s">
        <v>59</v>
      </c>
      <c r="AF21" s="120" t="s">
        <v>42</v>
      </c>
      <c r="AG21" s="120" t="s">
        <v>39</v>
      </c>
      <c r="AH21" s="120" t="s">
        <v>68</v>
      </c>
      <c r="AI21" s="120" t="s">
        <v>71</v>
      </c>
      <c r="AJ21" s="120" t="s">
        <v>60</v>
      </c>
      <c r="AK21" s="120" t="s">
        <v>42</v>
      </c>
      <c r="AL21" s="120" t="s">
        <v>61</v>
      </c>
      <c r="AM21" s="120" t="s">
        <v>52</v>
      </c>
      <c r="AN21" s="120" t="s">
        <v>52</v>
      </c>
      <c r="AO21" s="120" t="s">
        <v>42</v>
      </c>
      <c r="AP21" s="120" t="s">
        <v>39</v>
      </c>
      <c r="AQ21" s="120" t="s">
        <v>44</v>
      </c>
      <c r="AR21" s="120" t="s">
        <v>49</v>
      </c>
      <c r="AS21" s="120" t="s">
        <v>60</v>
      </c>
      <c r="AT21" s="120" t="s">
        <v>61</v>
      </c>
      <c r="AU21" s="120" t="s">
        <v>47</v>
      </c>
      <c r="AV21" s="120" t="s">
        <v>42</v>
      </c>
      <c r="AW21" s="120" t="s">
        <v>42</v>
      </c>
      <c r="AX21" s="120" t="s">
        <v>64</v>
      </c>
      <c r="AY21" s="120" t="s">
        <v>55</v>
      </c>
      <c r="AZ21" s="120" t="s">
        <v>54</v>
      </c>
      <c r="BA21" s="120" t="s">
        <v>46</v>
      </c>
      <c r="BB21" s="120" t="s">
        <v>51</v>
      </c>
      <c r="BC21" s="120" t="s">
        <v>66</v>
      </c>
      <c r="BD21" s="120" t="s">
        <v>40</v>
      </c>
      <c r="BE21" s="120" t="s">
        <v>45</v>
      </c>
      <c r="BF21" s="120" t="s">
        <v>60</v>
      </c>
      <c r="BG21" s="120" t="s">
        <v>39</v>
      </c>
      <c r="BH21" s="120" t="s">
        <v>45</v>
      </c>
      <c r="BI21" s="120" t="s">
        <v>40</v>
      </c>
      <c r="BJ21" s="120" t="s">
        <v>56</v>
      </c>
      <c r="BK21" s="120" t="s">
        <v>71</v>
      </c>
      <c r="BL21" s="120" t="s">
        <v>43</v>
      </c>
      <c r="BM21" s="120" t="s">
        <v>63</v>
      </c>
      <c r="BN21" s="120" t="s">
        <v>42</v>
      </c>
      <c r="BO21" s="120" t="s">
        <v>55</v>
      </c>
      <c r="BP21" s="120" t="s">
        <v>42</v>
      </c>
      <c r="BQ21" s="120" t="s">
        <v>49</v>
      </c>
      <c r="BR21" s="120" t="s">
        <v>47</v>
      </c>
      <c r="BS21" s="120" t="s">
        <v>68</v>
      </c>
      <c r="BT21" s="120" t="s">
        <v>52</v>
      </c>
      <c r="BU21" s="120" t="s">
        <v>75</v>
      </c>
      <c r="BV21" s="120" t="s">
        <v>54</v>
      </c>
      <c r="BW21" s="120" t="s">
        <v>59</v>
      </c>
      <c r="BX21" s="120" t="s">
        <v>75</v>
      </c>
      <c r="BY21" s="120" t="s">
        <v>42</v>
      </c>
      <c r="BZ21" s="120" t="s">
        <v>49</v>
      </c>
      <c r="CA21" s="120" t="s">
        <v>55</v>
      </c>
      <c r="CB21" s="120" t="s">
        <v>61</v>
      </c>
      <c r="CC21" s="120" t="s">
        <v>60</v>
      </c>
      <c r="CD21" s="120" t="s">
        <v>64</v>
      </c>
      <c r="CE21" s="120" t="s">
        <v>71</v>
      </c>
      <c r="CF21" s="120" t="s">
        <v>59</v>
      </c>
      <c r="CG21" s="120" t="s">
        <v>42</v>
      </c>
      <c r="CH21" s="120" t="s">
        <v>66</v>
      </c>
      <c r="CI21" s="120" t="s">
        <v>44</v>
      </c>
      <c r="CJ21" s="120" t="s">
        <v>46</v>
      </c>
      <c r="CK21" s="120" t="s">
        <v>45</v>
      </c>
      <c r="CL21" s="120" t="s">
        <v>42</v>
      </c>
      <c r="CM21" s="120" t="s">
        <v>54</v>
      </c>
      <c r="CN21" s="120" t="s">
        <v>51</v>
      </c>
      <c r="CO21" s="120" t="s">
        <v>40</v>
      </c>
      <c r="CP21" s="120" t="s">
        <v>42</v>
      </c>
      <c r="CQ21" s="120" t="s">
        <v>45</v>
      </c>
      <c r="CR21" s="120" t="s">
        <v>47</v>
      </c>
      <c r="CS21" s="120" t="s">
        <v>52</v>
      </c>
      <c r="CT21" s="120" t="s">
        <v>42</v>
      </c>
      <c r="CU21" s="120" t="s">
        <v>43</v>
      </c>
      <c r="CV21" s="120" t="s">
        <v>56</v>
      </c>
      <c r="CW21" s="120" t="s">
        <v>42</v>
      </c>
      <c r="CX21" s="120" t="s">
        <v>42</v>
      </c>
      <c r="CY21" s="120" t="s">
        <v>326</v>
      </c>
      <c r="CZ21" s="120" t="s">
        <v>42</v>
      </c>
      <c r="DA21" s="120" t="s">
        <v>61</v>
      </c>
      <c r="DB21" s="120" t="s">
        <v>68</v>
      </c>
      <c r="DC21" s="120" t="s">
        <v>70</v>
      </c>
      <c r="DD21" s="120" t="s">
        <v>71</v>
      </c>
      <c r="DE21" s="120" t="s">
        <v>39</v>
      </c>
      <c r="DF21" s="120" t="s">
        <v>44</v>
      </c>
      <c r="DG21" s="120" t="s">
        <v>40</v>
      </c>
      <c r="DH21" s="120" t="s">
        <v>42</v>
      </c>
      <c r="DI21" s="120" t="s">
        <v>49</v>
      </c>
      <c r="DJ21" s="120" t="s">
        <v>40</v>
      </c>
      <c r="DK21" s="120" t="s">
        <v>47</v>
      </c>
      <c r="DL21" s="120" t="s">
        <v>42</v>
      </c>
      <c r="DM21" s="120" t="s">
        <v>43</v>
      </c>
      <c r="DN21" s="120" t="s">
        <v>44</v>
      </c>
      <c r="DO21" s="120" t="s">
        <v>68</v>
      </c>
      <c r="DP21" s="120" t="s">
        <v>60</v>
      </c>
      <c r="DQ21" s="120" t="s">
        <v>56</v>
      </c>
      <c r="DR21" s="120" t="s">
        <v>42</v>
      </c>
      <c r="DS21" s="120" t="s">
        <v>55</v>
      </c>
      <c r="DT21" s="120" t="s">
        <v>54</v>
      </c>
      <c r="DU21" s="120" t="s">
        <v>71</v>
      </c>
      <c r="DV21" s="120" t="s">
        <v>52</v>
      </c>
      <c r="DW21" s="120" t="s">
        <v>46</v>
      </c>
      <c r="DX21" s="120" t="s">
        <v>59</v>
      </c>
      <c r="DY21" s="120" t="s">
        <v>45</v>
      </c>
      <c r="DZ21" s="120" t="s">
        <v>42</v>
      </c>
      <c r="EA21" s="120" t="s">
        <v>44</v>
      </c>
      <c r="EB21" s="120" t="s">
        <v>49</v>
      </c>
      <c r="EC21" s="120" t="s">
        <v>46</v>
      </c>
      <c r="ED21" s="120" t="s">
        <v>61</v>
      </c>
      <c r="EE21" s="120" t="s">
        <v>52</v>
      </c>
      <c r="EF21" s="120" t="s">
        <v>39</v>
      </c>
      <c r="EG21" s="120" t="s">
        <v>68</v>
      </c>
      <c r="EH21" s="120" t="s">
        <v>56</v>
      </c>
      <c r="EI21" s="120" t="s">
        <v>42</v>
      </c>
      <c r="EJ21" s="120" t="s">
        <v>43</v>
      </c>
      <c r="EK21" s="120" t="s">
        <v>57</v>
      </c>
      <c r="EL21" s="120" t="s">
        <v>45</v>
      </c>
      <c r="EM21" s="120" t="s">
        <v>42</v>
      </c>
      <c r="EN21" s="120" t="s">
        <v>54</v>
      </c>
      <c r="EO21" s="120" t="s">
        <v>64</v>
      </c>
      <c r="EP21" s="120" t="s">
        <v>75</v>
      </c>
      <c r="EQ21" s="120" t="s">
        <v>55</v>
      </c>
      <c r="ER21" s="120" t="s">
        <v>52</v>
      </c>
      <c r="ES21" s="120" t="s">
        <v>55</v>
      </c>
      <c r="ET21" s="120" t="s">
        <v>44</v>
      </c>
      <c r="EU21" s="120" t="s">
        <v>40</v>
      </c>
      <c r="EV21" s="120" t="s">
        <v>54</v>
      </c>
      <c r="EW21" s="120" t="s">
        <v>49</v>
      </c>
      <c r="EX21" s="120" t="s">
        <v>39</v>
      </c>
      <c r="EY21" s="120" t="s">
        <v>61</v>
      </c>
      <c r="EZ21" s="120" t="s">
        <v>330</v>
      </c>
      <c r="FA21" s="120" t="s">
        <v>339</v>
      </c>
      <c r="FB21" s="120" t="s">
        <v>52</v>
      </c>
    </row>
    <row r="22" ht="22.5" customHeight="1">
      <c r="A22" s="121">
        <v>45916.39520539352</v>
      </c>
      <c r="B22" s="120" t="s">
        <v>364</v>
      </c>
      <c r="C22" s="120" t="s">
        <v>19</v>
      </c>
      <c r="D22" s="120" t="s">
        <v>63</v>
      </c>
      <c r="E22" s="120" t="s">
        <v>39</v>
      </c>
      <c r="F22" s="120" t="s">
        <v>40</v>
      </c>
      <c r="G22" s="120" t="s">
        <v>70</v>
      </c>
      <c r="H22" s="120" t="s">
        <v>61</v>
      </c>
      <c r="I22" s="120" t="s">
        <v>42</v>
      </c>
      <c r="J22" s="120" t="s">
        <v>74</v>
      </c>
      <c r="K22" s="120" t="s">
        <v>327</v>
      </c>
      <c r="L22" s="120" t="s">
        <v>44</v>
      </c>
      <c r="M22" s="120" t="s">
        <v>42</v>
      </c>
      <c r="N22" s="120" t="s">
        <v>46</v>
      </c>
      <c r="O22" s="120" t="s">
        <v>75</v>
      </c>
      <c r="P22" s="120" t="s">
        <v>48</v>
      </c>
      <c r="Q22" s="120" t="s">
        <v>68</v>
      </c>
      <c r="R22" s="120" t="s">
        <v>49</v>
      </c>
      <c r="S22" s="120" t="s">
        <v>42</v>
      </c>
      <c r="T22" s="120" t="s">
        <v>51</v>
      </c>
      <c r="U22" s="120" t="s">
        <v>52</v>
      </c>
      <c r="V22" s="120" t="s">
        <v>54</v>
      </c>
      <c r="W22" s="120" t="s">
        <v>40</v>
      </c>
      <c r="X22" s="120" t="s">
        <v>47</v>
      </c>
      <c r="Y22" s="120" t="s">
        <v>55</v>
      </c>
      <c r="Z22" s="120" t="s">
        <v>56</v>
      </c>
      <c r="AA22" s="120" t="s">
        <v>42</v>
      </c>
      <c r="AB22" s="120" t="s">
        <v>42</v>
      </c>
      <c r="AC22" s="120" t="s">
        <v>42</v>
      </c>
      <c r="AD22" s="120" t="s">
        <v>45</v>
      </c>
      <c r="AE22" s="120" t="s">
        <v>59</v>
      </c>
      <c r="AF22" s="120" t="s">
        <v>72</v>
      </c>
      <c r="AG22" s="120" t="s">
        <v>39</v>
      </c>
      <c r="AH22" s="120" t="s">
        <v>68</v>
      </c>
      <c r="AI22" s="120" t="s">
        <v>326</v>
      </c>
      <c r="AJ22" s="120" t="s">
        <v>60</v>
      </c>
      <c r="AK22" s="120" t="s">
        <v>66</v>
      </c>
      <c r="AL22" s="120" t="s">
        <v>61</v>
      </c>
      <c r="AM22" s="120" t="s">
        <v>52</v>
      </c>
      <c r="AN22" s="120" t="s">
        <v>52</v>
      </c>
      <c r="AO22" s="120" t="s">
        <v>328</v>
      </c>
      <c r="AP22" s="120" t="s">
        <v>39</v>
      </c>
      <c r="AQ22" s="120" t="s">
        <v>68</v>
      </c>
      <c r="AR22" s="120" t="s">
        <v>326</v>
      </c>
      <c r="AS22" s="120" t="s">
        <v>63</v>
      </c>
      <c r="AT22" s="120" t="s">
        <v>72</v>
      </c>
      <c r="AU22" s="120" t="s">
        <v>38</v>
      </c>
      <c r="AV22" s="120" t="s">
        <v>59</v>
      </c>
      <c r="AW22" s="120" t="s">
        <v>58</v>
      </c>
      <c r="AX22" s="120" t="s">
        <v>64</v>
      </c>
      <c r="AY22" s="120" t="s">
        <v>55</v>
      </c>
      <c r="AZ22" s="120" t="s">
        <v>54</v>
      </c>
      <c r="BA22" s="120" t="s">
        <v>50</v>
      </c>
      <c r="BB22" s="120" t="s">
        <v>51</v>
      </c>
      <c r="BC22" s="120" t="s">
        <v>66</v>
      </c>
      <c r="BD22" s="120" t="s">
        <v>40</v>
      </c>
      <c r="BE22" s="120" t="s">
        <v>45</v>
      </c>
      <c r="BF22" s="120" t="s">
        <v>60</v>
      </c>
      <c r="BG22" s="120" t="s">
        <v>327</v>
      </c>
      <c r="BH22" s="120" t="s">
        <v>44</v>
      </c>
      <c r="BI22" s="120" t="s">
        <v>42</v>
      </c>
      <c r="BJ22" s="120" t="s">
        <v>56</v>
      </c>
      <c r="BK22" s="120" t="s">
        <v>71</v>
      </c>
      <c r="BL22" s="120" t="s">
        <v>43</v>
      </c>
      <c r="BM22" s="120" t="s">
        <v>74</v>
      </c>
      <c r="BN22" s="120" t="s">
        <v>42</v>
      </c>
      <c r="BO22" s="120" t="s">
        <v>42</v>
      </c>
      <c r="BP22" s="120" t="s">
        <v>42</v>
      </c>
      <c r="BQ22" s="120" t="s">
        <v>49</v>
      </c>
      <c r="BR22" s="120" t="s">
        <v>47</v>
      </c>
      <c r="BS22" s="120" t="s">
        <v>70</v>
      </c>
      <c r="BT22" s="120" t="s">
        <v>48</v>
      </c>
      <c r="BU22" s="120" t="s">
        <v>75</v>
      </c>
      <c r="BV22" s="120" t="s">
        <v>57</v>
      </c>
      <c r="BW22" s="120" t="s">
        <v>59</v>
      </c>
      <c r="BX22" s="120" t="s">
        <v>75</v>
      </c>
      <c r="BY22" s="120" t="s">
        <v>58</v>
      </c>
      <c r="BZ22" s="120" t="s">
        <v>49</v>
      </c>
      <c r="CA22" s="120" t="s">
        <v>55</v>
      </c>
      <c r="CB22" s="120" t="s">
        <v>61</v>
      </c>
      <c r="CC22" s="120" t="s">
        <v>60</v>
      </c>
      <c r="CD22" s="120" t="s">
        <v>327</v>
      </c>
      <c r="CE22" s="120" t="s">
        <v>42</v>
      </c>
      <c r="CF22" s="120" t="s">
        <v>57</v>
      </c>
      <c r="CG22" s="120" t="s">
        <v>72</v>
      </c>
      <c r="CH22" s="120" t="s">
        <v>66</v>
      </c>
      <c r="CI22" s="120" t="s">
        <v>44</v>
      </c>
      <c r="CJ22" s="120" t="s">
        <v>46</v>
      </c>
      <c r="CK22" s="120" t="s">
        <v>42</v>
      </c>
      <c r="CL22" s="120" t="s">
        <v>56</v>
      </c>
      <c r="CM22" s="120" t="s">
        <v>50</v>
      </c>
      <c r="CN22" s="120" t="s">
        <v>51</v>
      </c>
      <c r="CO22" s="120" t="s">
        <v>74</v>
      </c>
      <c r="CP22" s="120" t="s">
        <v>328</v>
      </c>
      <c r="CQ22" s="120" t="s">
        <v>45</v>
      </c>
      <c r="CR22" s="120" t="s">
        <v>47</v>
      </c>
      <c r="CS22" s="120" t="s">
        <v>52</v>
      </c>
      <c r="CT22" s="120" t="s">
        <v>54</v>
      </c>
      <c r="CU22" s="120" t="s">
        <v>43</v>
      </c>
      <c r="CV22" s="120" t="s">
        <v>63</v>
      </c>
      <c r="CW22" s="120" t="s">
        <v>42</v>
      </c>
      <c r="CX22" s="120" t="s">
        <v>57</v>
      </c>
      <c r="CY22" s="120" t="s">
        <v>326</v>
      </c>
      <c r="CZ22" s="120" t="s">
        <v>75</v>
      </c>
      <c r="DA22" s="120" t="s">
        <v>61</v>
      </c>
      <c r="DB22" s="120" t="s">
        <v>68</v>
      </c>
      <c r="DC22" s="120" t="s">
        <v>70</v>
      </c>
      <c r="DD22" s="120" t="s">
        <v>42</v>
      </c>
      <c r="DE22" s="120" t="s">
        <v>48</v>
      </c>
      <c r="DF22" s="120" t="s">
        <v>64</v>
      </c>
      <c r="DG22" s="120" t="s">
        <v>40</v>
      </c>
      <c r="DH22" s="120" t="s">
        <v>42</v>
      </c>
      <c r="DI22" s="120" t="s">
        <v>49</v>
      </c>
      <c r="DJ22" s="120" t="s">
        <v>40</v>
      </c>
      <c r="DK22" s="120" t="s">
        <v>47</v>
      </c>
      <c r="DL22" s="120" t="s">
        <v>326</v>
      </c>
      <c r="DM22" s="120" t="s">
        <v>43</v>
      </c>
      <c r="DN22" s="120" t="s">
        <v>51</v>
      </c>
      <c r="DO22" s="120" t="s">
        <v>74</v>
      </c>
      <c r="DP22" s="120" t="s">
        <v>60</v>
      </c>
      <c r="DQ22" s="120" t="s">
        <v>42</v>
      </c>
      <c r="DR22" s="120" t="s">
        <v>50</v>
      </c>
      <c r="DS22" s="120" t="s">
        <v>55</v>
      </c>
      <c r="DT22" s="120" t="s">
        <v>54</v>
      </c>
      <c r="DU22" s="120" t="s">
        <v>71</v>
      </c>
      <c r="DV22" s="120" t="s">
        <v>52</v>
      </c>
      <c r="DW22" s="120" t="s">
        <v>57</v>
      </c>
      <c r="DX22" s="120" t="s">
        <v>59</v>
      </c>
      <c r="DY22" s="120" t="s">
        <v>45</v>
      </c>
      <c r="DZ22" s="120" t="s">
        <v>327</v>
      </c>
      <c r="EA22" s="120" t="s">
        <v>44</v>
      </c>
      <c r="EB22" s="120" t="s">
        <v>49</v>
      </c>
      <c r="EC22" s="120" t="s">
        <v>46</v>
      </c>
      <c r="ED22" s="120" t="s">
        <v>61</v>
      </c>
      <c r="EE22" s="120" t="s">
        <v>52</v>
      </c>
      <c r="EF22" s="120" t="s">
        <v>39</v>
      </c>
      <c r="EG22" s="120" t="s">
        <v>68</v>
      </c>
      <c r="EH22" s="120" t="s">
        <v>56</v>
      </c>
      <c r="EI22" s="120" t="s">
        <v>70</v>
      </c>
      <c r="EJ22" s="120" t="s">
        <v>50</v>
      </c>
      <c r="EK22" s="120" t="s">
        <v>48</v>
      </c>
      <c r="EL22" s="120" t="s">
        <v>63</v>
      </c>
      <c r="EM22" s="120" t="s">
        <v>66</v>
      </c>
      <c r="EN22" s="120" t="s">
        <v>38</v>
      </c>
      <c r="EO22" s="120" t="s">
        <v>64</v>
      </c>
      <c r="EP22" s="120" t="s">
        <v>75</v>
      </c>
      <c r="EQ22" s="120" t="s">
        <v>60</v>
      </c>
      <c r="ER22" s="120" t="s">
        <v>44</v>
      </c>
      <c r="ES22" s="120" t="s">
        <v>40</v>
      </c>
      <c r="ET22" s="120" t="s">
        <v>45</v>
      </c>
      <c r="EU22" s="120" t="s">
        <v>49</v>
      </c>
      <c r="EV22" s="120" t="s">
        <v>52</v>
      </c>
      <c r="EW22" s="120" t="s">
        <v>55</v>
      </c>
      <c r="EX22" s="120" t="s">
        <v>46</v>
      </c>
      <c r="EY22" s="120" t="s">
        <v>61</v>
      </c>
      <c r="EZ22" s="120" t="s">
        <v>360</v>
      </c>
      <c r="FA22" s="120" t="s">
        <v>330</v>
      </c>
      <c r="FB22" s="120" t="s">
        <v>44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4" width="18.88"/>
    <col customWidth="1" min="5" max="5" width="25.38"/>
    <col customWidth="1" min="6" max="6" width="24.75"/>
    <col customWidth="1" min="7" max="8" width="18.88"/>
    <col customWidth="1" min="9" max="9" width="19.0"/>
    <col customWidth="1" min="10" max="11" width="18.88"/>
    <col customWidth="1" min="12" max="12" width="19.63"/>
    <col customWidth="1" min="13" max="14" width="18.88"/>
    <col customWidth="1" min="15" max="15" width="19.63"/>
    <col customWidth="1" min="16" max="16" width="19.0"/>
    <col customWidth="1" min="17" max="18" width="18.88"/>
    <col customWidth="1" min="19" max="19" width="24.38"/>
    <col customWidth="1" min="20" max="21" width="18.88"/>
    <col customWidth="1" min="22" max="22" width="25.0"/>
    <col customWidth="1" min="23" max="28" width="18.88"/>
    <col customWidth="1" min="29" max="29" width="19.25"/>
    <col customWidth="1" min="30" max="30" width="24.25"/>
    <col customWidth="1" min="31" max="31" width="23.63"/>
    <col customWidth="1" min="32" max="32" width="19.88"/>
    <col customWidth="1" min="33" max="34" width="18.88"/>
    <col customWidth="1" min="35" max="35" width="21.25"/>
    <col customWidth="1" min="36" max="36" width="20.63"/>
    <col customWidth="1" min="37" max="37" width="19.38"/>
    <col customWidth="1" min="38" max="39" width="18.88"/>
    <col customWidth="1" min="40" max="40" width="23.75"/>
    <col customWidth="1" min="41" max="41" width="23.13"/>
    <col customWidth="1" min="42" max="42" width="19.5"/>
    <col customWidth="1" min="43" max="49" width="18.88"/>
  </cols>
  <sheetData>
    <row r="1" ht="22.5" customHeight="1">
      <c r="A1" s="122" t="s">
        <v>179</v>
      </c>
      <c r="B1" s="122" t="s">
        <v>180</v>
      </c>
      <c r="C1" s="122" t="s">
        <v>181</v>
      </c>
      <c r="D1" s="122" t="s">
        <v>365</v>
      </c>
      <c r="E1" s="122" t="s">
        <v>366</v>
      </c>
      <c r="F1" s="122" t="s">
        <v>367</v>
      </c>
      <c r="G1" s="122" t="s">
        <v>368</v>
      </c>
      <c r="H1" s="122" t="s">
        <v>107</v>
      </c>
      <c r="I1" s="122" t="s">
        <v>369</v>
      </c>
      <c r="J1" s="122" t="s">
        <v>370</v>
      </c>
      <c r="K1" s="122" t="s">
        <v>371</v>
      </c>
      <c r="L1" s="122" t="s">
        <v>372</v>
      </c>
      <c r="M1" s="122" t="s">
        <v>373</v>
      </c>
      <c r="N1" s="122" t="s">
        <v>374</v>
      </c>
      <c r="O1" s="122" t="s">
        <v>375</v>
      </c>
      <c r="P1" s="122" t="s">
        <v>376</v>
      </c>
      <c r="Q1" s="122" t="s">
        <v>377</v>
      </c>
      <c r="R1" s="122" t="s">
        <v>378</v>
      </c>
      <c r="S1" s="122" t="s">
        <v>379</v>
      </c>
      <c r="T1" s="122" t="s">
        <v>380</v>
      </c>
      <c r="U1" s="122" t="s">
        <v>381</v>
      </c>
      <c r="V1" s="122" t="s">
        <v>382</v>
      </c>
      <c r="W1" s="122" t="s">
        <v>383</v>
      </c>
      <c r="X1" s="122" t="s">
        <v>384</v>
      </c>
      <c r="Y1" s="122" t="s">
        <v>385</v>
      </c>
      <c r="Z1" s="122" t="s">
        <v>386</v>
      </c>
      <c r="AA1" s="122" t="s">
        <v>387</v>
      </c>
      <c r="AB1" s="122" t="s">
        <v>388</v>
      </c>
      <c r="AC1" s="122" t="s">
        <v>389</v>
      </c>
      <c r="AD1" s="122" t="s">
        <v>390</v>
      </c>
      <c r="AE1" s="122" t="s">
        <v>391</v>
      </c>
      <c r="AF1" s="122" t="s">
        <v>392</v>
      </c>
      <c r="AG1" s="122" t="s">
        <v>393</v>
      </c>
      <c r="AH1" s="122" t="s">
        <v>394</v>
      </c>
      <c r="AI1" s="122" t="s">
        <v>395</v>
      </c>
      <c r="AJ1" s="122" t="s">
        <v>396</v>
      </c>
      <c r="AK1" s="122" t="s">
        <v>397</v>
      </c>
      <c r="AL1" s="122" t="s">
        <v>398</v>
      </c>
      <c r="AM1" s="122" t="s">
        <v>399</v>
      </c>
      <c r="AN1" s="122" t="s">
        <v>400</v>
      </c>
      <c r="AO1" s="122" t="s">
        <v>401</v>
      </c>
      <c r="AP1" s="122" t="s">
        <v>402</v>
      </c>
      <c r="AQ1" s="122" t="s">
        <v>403</v>
      </c>
    </row>
    <row r="2" ht="22.5" customHeight="1">
      <c r="A2" s="118">
        <v>46062.55202366898</v>
      </c>
      <c r="B2" s="119" t="s">
        <v>355</v>
      </c>
      <c r="C2" s="119" t="s">
        <v>22</v>
      </c>
      <c r="D2" s="119">
        <v>0.0</v>
      </c>
      <c r="E2" s="119">
        <v>2.0</v>
      </c>
      <c r="F2" s="119">
        <v>3.0</v>
      </c>
      <c r="G2" s="119">
        <v>1.0</v>
      </c>
      <c r="H2" s="119" t="s">
        <v>44</v>
      </c>
      <c r="I2" s="119">
        <v>2.0</v>
      </c>
      <c r="J2" s="119">
        <v>1.0</v>
      </c>
      <c r="K2" s="119">
        <v>2.0</v>
      </c>
      <c r="L2" s="119">
        <v>1.0</v>
      </c>
      <c r="M2" s="119" t="s">
        <v>71</v>
      </c>
      <c r="N2" s="119">
        <v>1.0</v>
      </c>
      <c r="O2" s="119">
        <v>2.0</v>
      </c>
      <c r="P2" s="119">
        <v>3.0</v>
      </c>
      <c r="Q2" s="119">
        <v>1.0</v>
      </c>
      <c r="R2" s="119" t="s">
        <v>40</v>
      </c>
      <c r="S2" s="119">
        <v>2.0</v>
      </c>
      <c r="T2" s="119">
        <v>0.0</v>
      </c>
      <c r="U2" s="119">
        <v>1.0</v>
      </c>
      <c r="V2" s="119">
        <v>1.0</v>
      </c>
      <c r="W2" s="119" t="s">
        <v>61</v>
      </c>
      <c r="X2" s="119">
        <v>0.0</v>
      </c>
      <c r="Y2" s="119">
        <v>2.0</v>
      </c>
      <c r="Z2" s="119">
        <v>2.0</v>
      </c>
      <c r="AA2" s="119">
        <v>0.0</v>
      </c>
      <c r="AB2" s="119" t="s">
        <v>59</v>
      </c>
      <c r="AC2" s="119">
        <v>1.0</v>
      </c>
      <c r="AD2" s="119">
        <v>2.0</v>
      </c>
      <c r="AE2" s="119">
        <v>2.0</v>
      </c>
      <c r="AF2" s="119">
        <v>0.0</v>
      </c>
      <c r="AG2" s="119" t="s">
        <v>56</v>
      </c>
      <c r="AH2" s="119">
        <v>0.0</v>
      </c>
      <c r="AI2" s="119">
        <v>2.0</v>
      </c>
      <c r="AJ2" s="119">
        <v>3.0</v>
      </c>
      <c r="AK2" s="119">
        <v>0.0</v>
      </c>
      <c r="AL2" s="119" t="s">
        <v>47</v>
      </c>
      <c r="AM2" s="119">
        <v>1.0</v>
      </c>
      <c r="AN2" s="119">
        <v>2.0</v>
      </c>
      <c r="AO2" s="119">
        <v>2.0</v>
      </c>
      <c r="AP2" s="119">
        <v>1.0</v>
      </c>
      <c r="AQ2" s="119" t="s">
        <v>68</v>
      </c>
    </row>
    <row r="3" ht="22.5" customHeight="1">
      <c r="A3" s="121">
        <v>46062.55414508102</v>
      </c>
      <c r="B3" s="120" t="s">
        <v>337</v>
      </c>
      <c r="C3" s="120" t="s">
        <v>15</v>
      </c>
      <c r="D3" s="120">
        <v>1.0</v>
      </c>
      <c r="E3" s="120">
        <v>3.0</v>
      </c>
      <c r="F3" s="120">
        <v>2.0</v>
      </c>
      <c r="G3" s="120">
        <v>0.0</v>
      </c>
      <c r="H3" s="120" t="s">
        <v>44</v>
      </c>
      <c r="I3" s="120">
        <v>2.0</v>
      </c>
      <c r="J3" s="120">
        <v>1.0</v>
      </c>
      <c r="K3" s="120">
        <v>2.0</v>
      </c>
      <c r="L3" s="120">
        <v>0.0</v>
      </c>
      <c r="M3" s="120" t="s">
        <v>71</v>
      </c>
      <c r="N3" s="120">
        <v>1.0</v>
      </c>
      <c r="O3" s="120">
        <v>3.0</v>
      </c>
      <c r="P3" s="120">
        <v>5.0</v>
      </c>
      <c r="Q3" s="120">
        <v>1.0</v>
      </c>
      <c r="R3" s="120" t="s">
        <v>40</v>
      </c>
      <c r="S3" s="120">
        <v>2.0</v>
      </c>
      <c r="T3" s="120">
        <v>1.0</v>
      </c>
      <c r="U3" s="120">
        <v>1.0</v>
      </c>
      <c r="V3" s="120">
        <v>1.0</v>
      </c>
      <c r="W3" s="120" t="s">
        <v>61</v>
      </c>
      <c r="X3" s="120">
        <v>1.0</v>
      </c>
      <c r="Y3" s="120">
        <v>2.0</v>
      </c>
      <c r="Z3" s="120">
        <v>2.0</v>
      </c>
      <c r="AA3" s="120">
        <v>0.0</v>
      </c>
      <c r="AB3" s="120" t="s">
        <v>59</v>
      </c>
      <c r="AC3" s="120">
        <v>1.0</v>
      </c>
      <c r="AD3" s="120">
        <v>1.0</v>
      </c>
      <c r="AE3" s="120">
        <v>1.0</v>
      </c>
      <c r="AF3" s="120">
        <v>1.0</v>
      </c>
      <c r="AG3" s="120" t="s">
        <v>48</v>
      </c>
      <c r="AH3" s="120">
        <v>0.0</v>
      </c>
      <c r="AI3" s="120">
        <v>2.0</v>
      </c>
      <c r="AJ3" s="120">
        <v>4.0</v>
      </c>
      <c r="AK3" s="120">
        <v>0.0</v>
      </c>
      <c r="AL3" s="120" t="s">
        <v>47</v>
      </c>
      <c r="AM3" s="120">
        <v>1.0</v>
      </c>
      <c r="AN3" s="120">
        <v>1.0</v>
      </c>
      <c r="AO3" s="120">
        <v>2.0</v>
      </c>
      <c r="AP3" s="120">
        <v>0.0</v>
      </c>
      <c r="AQ3" s="120" t="s">
        <v>68</v>
      </c>
    </row>
    <row r="4" ht="22.5" customHeight="1">
      <c r="A4" s="121">
        <v>46062.56030096065</v>
      </c>
      <c r="B4" s="120" t="s">
        <v>334</v>
      </c>
      <c r="C4" s="120" t="s">
        <v>17</v>
      </c>
      <c r="D4" s="120">
        <v>1.0</v>
      </c>
      <c r="E4" s="120">
        <v>3.0</v>
      </c>
      <c r="F4" s="120">
        <v>4.0</v>
      </c>
      <c r="G4" s="120">
        <v>0.0</v>
      </c>
      <c r="H4" s="120" t="s">
        <v>44</v>
      </c>
      <c r="I4" s="120">
        <v>1.0</v>
      </c>
      <c r="J4" s="120">
        <v>1.0</v>
      </c>
      <c r="K4" s="120">
        <v>1.0</v>
      </c>
      <c r="L4" s="120">
        <v>0.0</v>
      </c>
      <c r="M4" s="120" t="s">
        <v>71</v>
      </c>
      <c r="N4" s="120">
        <v>2.0</v>
      </c>
      <c r="O4" s="120">
        <v>2.0</v>
      </c>
      <c r="P4" s="120">
        <v>3.0</v>
      </c>
      <c r="Q4" s="120">
        <v>0.0</v>
      </c>
      <c r="R4" s="120" t="s">
        <v>40</v>
      </c>
      <c r="S4" s="120">
        <v>2.0</v>
      </c>
      <c r="T4" s="120">
        <v>0.0</v>
      </c>
      <c r="U4" s="120">
        <v>2.0</v>
      </c>
      <c r="V4" s="120">
        <v>2.0</v>
      </c>
      <c r="W4" s="120" t="s">
        <v>61</v>
      </c>
      <c r="X4" s="120">
        <v>0.0</v>
      </c>
      <c r="Y4" s="120">
        <v>3.0</v>
      </c>
      <c r="Z4" s="120">
        <v>1.0</v>
      </c>
      <c r="AA4" s="120">
        <v>0.0</v>
      </c>
      <c r="AB4" s="120" t="s">
        <v>59</v>
      </c>
      <c r="AC4" s="120">
        <v>1.0</v>
      </c>
      <c r="AD4" s="120">
        <v>1.0</v>
      </c>
      <c r="AE4" s="120">
        <v>2.0</v>
      </c>
      <c r="AF4" s="120">
        <v>1.0</v>
      </c>
      <c r="AG4" s="120" t="s">
        <v>56</v>
      </c>
      <c r="AH4" s="120">
        <v>0.0</v>
      </c>
      <c r="AI4" s="120">
        <v>5.0</v>
      </c>
      <c r="AJ4" s="120">
        <v>2.0</v>
      </c>
      <c r="AK4" s="120">
        <v>0.0</v>
      </c>
      <c r="AL4" s="120" t="s">
        <v>47</v>
      </c>
      <c r="AM4" s="120">
        <v>2.0</v>
      </c>
      <c r="AN4" s="120">
        <v>1.0</v>
      </c>
      <c r="AO4" s="120">
        <v>2.0</v>
      </c>
      <c r="AP4" s="120">
        <v>0.0</v>
      </c>
      <c r="AQ4" s="120" t="s">
        <v>68</v>
      </c>
    </row>
    <row r="5" ht="22.5" customHeight="1">
      <c r="A5" s="121">
        <v>46066.26813939815</v>
      </c>
      <c r="B5" s="120" t="s">
        <v>347</v>
      </c>
      <c r="C5" s="120" t="s">
        <v>10</v>
      </c>
      <c r="D5" s="120">
        <v>0.0</v>
      </c>
      <c r="E5" s="120">
        <v>3.0</v>
      </c>
      <c r="F5" s="120">
        <v>3.0</v>
      </c>
      <c r="G5" s="120">
        <v>0.0</v>
      </c>
      <c r="H5" s="120" t="s">
        <v>44</v>
      </c>
      <c r="I5" s="120">
        <v>2.0</v>
      </c>
      <c r="J5" s="120">
        <v>1.0</v>
      </c>
      <c r="K5" s="120">
        <v>3.0</v>
      </c>
      <c r="L5" s="120">
        <v>1.0</v>
      </c>
      <c r="M5" s="120" t="s">
        <v>71</v>
      </c>
      <c r="N5" s="120">
        <v>2.0</v>
      </c>
      <c r="O5" s="120">
        <v>2.0</v>
      </c>
      <c r="P5" s="120">
        <v>3.0</v>
      </c>
      <c r="Q5" s="120">
        <v>1.0</v>
      </c>
      <c r="R5" s="120" t="s">
        <v>40</v>
      </c>
      <c r="S5" s="120">
        <v>2.0</v>
      </c>
      <c r="T5" s="120">
        <v>0.0</v>
      </c>
      <c r="U5" s="120">
        <v>3.0</v>
      </c>
      <c r="V5" s="120">
        <v>1.0</v>
      </c>
      <c r="W5" s="120" t="s">
        <v>54</v>
      </c>
      <c r="X5" s="120">
        <v>1.0</v>
      </c>
      <c r="Y5" s="120">
        <v>2.0</v>
      </c>
      <c r="Z5" s="120">
        <v>2.0</v>
      </c>
      <c r="AA5" s="120">
        <v>1.0</v>
      </c>
      <c r="AB5" s="120" t="s">
        <v>59</v>
      </c>
      <c r="AC5" s="120">
        <v>0.0</v>
      </c>
      <c r="AD5" s="120">
        <v>3.0</v>
      </c>
      <c r="AE5" s="120">
        <v>2.0</v>
      </c>
      <c r="AF5" s="120">
        <v>0.0</v>
      </c>
      <c r="AG5" s="120" t="s">
        <v>56</v>
      </c>
      <c r="AH5" s="120">
        <v>1.0</v>
      </c>
      <c r="AI5" s="120">
        <v>2.0</v>
      </c>
      <c r="AJ5" s="120">
        <v>2.0</v>
      </c>
      <c r="AK5" s="120">
        <v>0.0</v>
      </c>
      <c r="AL5" s="120" t="s">
        <v>47</v>
      </c>
      <c r="AM5" s="120">
        <v>1.0</v>
      </c>
      <c r="AN5" s="120">
        <v>1.0</v>
      </c>
      <c r="AO5" s="120">
        <v>3.0</v>
      </c>
      <c r="AP5" s="120">
        <v>1.0</v>
      </c>
      <c r="AQ5" s="120" t="s">
        <v>68</v>
      </c>
    </row>
    <row r="6" ht="22.5" customHeight="1">
      <c r="A6" s="121">
        <v>46066.415928773145</v>
      </c>
      <c r="B6" s="120" t="s">
        <v>343</v>
      </c>
      <c r="C6" s="120" t="s">
        <v>5</v>
      </c>
      <c r="D6" s="120">
        <v>1.0</v>
      </c>
      <c r="E6" s="120">
        <v>2.0</v>
      </c>
      <c r="F6" s="120">
        <v>2.0</v>
      </c>
      <c r="G6" s="120">
        <v>0.0</v>
      </c>
      <c r="H6" s="120" t="s">
        <v>44</v>
      </c>
      <c r="I6" s="120">
        <v>1.0</v>
      </c>
      <c r="J6" s="120">
        <v>1.0</v>
      </c>
      <c r="K6" s="120">
        <v>3.0</v>
      </c>
      <c r="L6" s="120">
        <v>1.0</v>
      </c>
      <c r="M6" s="120" t="s">
        <v>71</v>
      </c>
      <c r="N6" s="120">
        <v>1.0</v>
      </c>
      <c r="O6" s="120">
        <v>1.0</v>
      </c>
      <c r="P6" s="120">
        <v>4.0</v>
      </c>
      <c r="Q6" s="120">
        <v>1.0</v>
      </c>
      <c r="R6" s="120" t="s">
        <v>40</v>
      </c>
      <c r="S6" s="120">
        <v>2.0</v>
      </c>
      <c r="T6" s="120">
        <v>2.0</v>
      </c>
      <c r="U6" s="120">
        <v>2.0</v>
      </c>
      <c r="V6" s="120">
        <v>2.0</v>
      </c>
      <c r="W6" s="120" t="s">
        <v>61</v>
      </c>
      <c r="X6" s="120">
        <v>1.0</v>
      </c>
      <c r="Y6" s="120">
        <v>0.0</v>
      </c>
      <c r="Z6" s="120">
        <v>2.0</v>
      </c>
      <c r="AA6" s="120">
        <v>1.0</v>
      </c>
      <c r="AB6" s="120" t="s">
        <v>59</v>
      </c>
      <c r="AC6" s="120">
        <v>1.0</v>
      </c>
      <c r="AD6" s="120">
        <v>0.0</v>
      </c>
      <c r="AE6" s="120">
        <v>2.0</v>
      </c>
      <c r="AF6" s="120">
        <v>1.0</v>
      </c>
      <c r="AG6" s="120" t="s">
        <v>56</v>
      </c>
      <c r="AH6" s="120">
        <v>0.0</v>
      </c>
      <c r="AI6" s="120">
        <v>2.0</v>
      </c>
      <c r="AJ6" s="120">
        <v>2.0</v>
      </c>
      <c r="AK6" s="120">
        <v>0.0</v>
      </c>
      <c r="AL6" s="120" t="s">
        <v>47</v>
      </c>
      <c r="AM6" s="120">
        <v>1.0</v>
      </c>
      <c r="AN6" s="120">
        <v>3.0</v>
      </c>
      <c r="AO6" s="120">
        <v>2.0</v>
      </c>
      <c r="AP6" s="120">
        <v>1.0</v>
      </c>
      <c r="AQ6" s="120" t="s">
        <v>68</v>
      </c>
    </row>
    <row r="7" ht="22.5" customHeight="1">
      <c r="A7" s="121">
        <v>46066.5077903125</v>
      </c>
      <c r="B7" s="120" t="s">
        <v>345</v>
      </c>
      <c r="C7" s="120" t="s">
        <v>6</v>
      </c>
      <c r="D7" s="120">
        <v>1.0</v>
      </c>
      <c r="E7" s="120">
        <v>2.0</v>
      </c>
      <c r="F7" s="120">
        <v>3.0</v>
      </c>
      <c r="G7" s="120">
        <v>0.0</v>
      </c>
      <c r="H7" s="120" t="s">
        <v>44</v>
      </c>
      <c r="I7" s="120">
        <v>1.0</v>
      </c>
      <c r="J7" s="120">
        <v>0.0</v>
      </c>
      <c r="K7" s="120">
        <v>2.0</v>
      </c>
      <c r="L7" s="120">
        <v>1.0</v>
      </c>
      <c r="M7" s="120" t="s">
        <v>58</v>
      </c>
      <c r="N7" s="120">
        <v>2.0</v>
      </c>
      <c r="O7" s="120">
        <v>2.0</v>
      </c>
      <c r="P7" s="120">
        <v>3.0</v>
      </c>
      <c r="Q7" s="120">
        <v>1.0</v>
      </c>
      <c r="R7" s="120" t="s">
        <v>40</v>
      </c>
      <c r="S7" s="120">
        <v>3.0</v>
      </c>
      <c r="T7" s="120">
        <v>1.0</v>
      </c>
      <c r="U7" s="120">
        <v>1.0</v>
      </c>
      <c r="V7" s="120">
        <v>0.0</v>
      </c>
      <c r="W7" s="120" t="s">
        <v>61</v>
      </c>
      <c r="X7" s="120">
        <v>0.0</v>
      </c>
      <c r="Y7" s="120">
        <v>2.0</v>
      </c>
      <c r="Z7" s="120">
        <v>2.0</v>
      </c>
      <c r="AA7" s="120">
        <v>0.0</v>
      </c>
      <c r="AB7" s="120" t="s">
        <v>59</v>
      </c>
      <c r="AC7" s="120">
        <v>1.0</v>
      </c>
      <c r="AD7" s="120">
        <v>1.0</v>
      </c>
      <c r="AE7" s="120">
        <v>3.0</v>
      </c>
      <c r="AF7" s="120">
        <v>1.0</v>
      </c>
      <c r="AG7" s="120" t="s">
        <v>56</v>
      </c>
      <c r="AH7" s="120">
        <v>0.0</v>
      </c>
      <c r="AI7" s="120">
        <v>1.0</v>
      </c>
      <c r="AJ7" s="120">
        <v>2.0</v>
      </c>
      <c r="AK7" s="120">
        <v>1.0</v>
      </c>
      <c r="AL7" s="120" t="s">
        <v>47</v>
      </c>
      <c r="AM7" s="120">
        <v>2.0</v>
      </c>
      <c r="AN7" s="120">
        <v>0.0</v>
      </c>
      <c r="AO7" s="120">
        <v>1.0</v>
      </c>
      <c r="AP7" s="120">
        <v>1.0</v>
      </c>
      <c r="AQ7" s="120" t="s">
        <v>74</v>
      </c>
    </row>
    <row r="8" ht="22.5" customHeight="1">
      <c r="A8" s="121">
        <v>46068.291081828706</v>
      </c>
      <c r="B8" s="120" t="s">
        <v>404</v>
      </c>
      <c r="C8" s="120" t="s">
        <v>14</v>
      </c>
      <c r="D8" s="120">
        <v>2.0</v>
      </c>
      <c r="E8" s="120">
        <v>2.0</v>
      </c>
      <c r="F8" s="120">
        <v>4.0</v>
      </c>
      <c r="G8" s="120">
        <v>1.0</v>
      </c>
      <c r="H8" s="120" t="s">
        <v>44</v>
      </c>
      <c r="I8" s="120">
        <v>0.0</v>
      </c>
      <c r="J8" s="120">
        <v>0.0</v>
      </c>
      <c r="K8" s="120">
        <v>2.0</v>
      </c>
      <c r="L8" s="120">
        <v>0.0</v>
      </c>
      <c r="M8" s="120" t="s">
        <v>71</v>
      </c>
      <c r="N8" s="120">
        <v>1.0</v>
      </c>
      <c r="O8" s="120">
        <v>2.0</v>
      </c>
      <c r="P8" s="120">
        <v>3.0</v>
      </c>
      <c r="Q8" s="120">
        <v>0.0</v>
      </c>
      <c r="R8" s="120" t="s">
        <v>40</v>
      </c>
      <c r="S8" s="120">
        <v>1.0</v>
      </c>
      <c r="T8" s="120">
        <v>1.0</v>
      </c>
      <c r="U8" s="120">
        <v>1.0</v>
      </c>
      <c r="V8" s="120">
        <v>0.0</v>
      </c>
      <c r="W8" s="120" t="s">
        <v>54</v>
      </c>
      <c r="X8" s="120">
        <v>0.0</v>
      </c>
      <c r="Y8" s="120">
        <v>2.0</v>
      </c>
      <c r="Z8" s="120">
        <v>4.0</v>
      </c>
      <c r="AA8" s="120">
        <v>0.0</v>
      </c>
      <c r="AB8" s="120" t="s">
        <v>59</v>
      </c>
      <c r="AC8" s="120">
        <v>0.0</v>
      </c>
      <c r="AD8" s="120">
        <v>0.0</v>
      </c>
      <c r="AE8" s="120">
        <v>2.0</v>
      </c>
      <c r="AF8" s="120">
        <v>0.0</v>
      </c>
      <c r="AG8" s="120" t="s">
        <v>56</v>
      </c>
      <c r="AH8" s="120">
        <v>0.0</v>
      </c>
      <c r="AI8" s="120">
        <v>2.0</v>
      </c>
      <c r="AJ8" s="120">
        <v>3.0</v>
      </c>
      <c r="AK8" s="120">
        <v>0.0</v>
      </c>
      <c r="AL8" s="120" t="s">
        <v>47</v>
      </c>
      <c r="AM8" s="120">
        <v>1.0</v>
      </c>
      <c r="AN8" s="120">
        <v>0.0</v>
      </c>
      <c r="AO8" s="120">
        <v>2.0</v>
      </c>
      <c r="AP8" s="120">
        <v>2.0</v>
      </c>
      <c r="AQ8" s="120" t="s">
        <v>74</v>
      </c>
    </row>
    <row r="9" ht="22.5" customHeight="1">
      <c r="A9" s="121">
        <v>46069.29846863426</v>
      </c>
      <c r="B9" s="120" t="s">
        <v>350</v>
      </c>
      <c r="C9" s="120" t="s">
        <v>2</v>
      </c>
      <c r="D9" s="120">
        <v>1.0</v>
      </c>
      <c r="E9" s="120">
        <v>2.0</v>
      </c>
      <c r="F9" s="120">
        <v>2.0</v>
      </c>
      <c r="G9" s="120">
        <v>1.0</v>
      </c>
      <c r="H9" s="120" t="s">
        <v>44</v>
      </c>
      <c r="I9" s="120">
        <v>2.0</v>
      </c>
      <c r="J9" s="120">
        <v>1.0</v>
      </c>
      <c r="K9" s="120">
        <v>2.0</v>
      </c>
      <c r="L9" s="120">
        <v>0.0</v>
      </c>
      <c r="M9" s="120" t="s">
        <v>71</v>
      </c>
      <c r="N9" s="120">
        <v>1.0</v>
      </c>
      <c r="O9" s="120">
        <v>1.0</v>
      </c>
      <c r="P9" s="120">
        <v>2.0</v>
      </c>
      <c r="Q9" s="120">
        <v>0.0</v>
      </c>
      <c r="R9" s="120" t="s">
        <v>40</v>
      </c>
      <c r="S9" s="120">
        <v>1.0</v>
      </c>
      <c r="T9" s="120">
        <v>2.0</v>
      </c>
      <c r="U9" s="120">
        <v>1.0</v>
      </c>
      <c r="V9" s="120">
        <v>1.0</v>
      </c>
      <c r="W9" s="120" t="s">
        <v>54</v>
      </c>
      <c r="X9" s="120">
        <v>1.0</v>
      </c>
      <c r="Y9" s="120">
        <v>1.0</v>
      </c>
      <c r="Z9" s="120">
        <v>2.0</v>
      </c>
      <c r="AA9" s="120">
        <v>0.0</v>
      </c>
      <c r="AB9" s="120" t="s">
        <v>59</v>
      </c>
      <c r="AC9" s="120">
        <v>1.0</v>
      </c>
      <c r="AD9" s="120">
        <v>1.0</v>
      </c>
      <c r="AE9" s="120">
        <v>2.0</v>
      </c>
      <c r="AF9" s="120">
        <v>0.0</v>
      </c>
      <c r="AG9" s="120" t="s">
        <v>56</v>
      </c>
      <c r="AH9" s="120">
        <v>1.0</v>
      </c>
      <c r="AI9" s="120">
        <v>1.0</v>
      </c>
      <c r="AJ9" s="120">
        <v>2.0</v>
      </c>
      <c r="AK9" s="120">
        <v>0.0</v>
      </c>
      <c r="AL9" s="120" t="s">
        <v>47</v>
      </c>
      <c r="AM9" s="120">
        <v>1.0</v>
      </c>
      <c r="AN9" s="120">
        <v>0.0</v>
      </c>
      <c r="AO9" s="120">
        <v>2.0</v>
      </c>
      <c r="AP9" s="120">
        <v>0.0</v>
      </c>
      <c r="AQ9" s="120" t="s">
        <v>68</v>
      </c>
    </row>
    <row r="10" ht="22.5" customHeight="1">
      <c r="A10" s="121">
        <v>46069.32021381945</v>
      </c>
      <c r="B10" s="120" t="s">
        <v>358</v>
      </c>
      <c r="C10" s="120" t="s">
        <v>3</v>
      </c>
      <c r="D10" s="120">
        <v>2.0</v>
      </c>
      <c r="E10" s="120">
        <v>2.0</v>
      </c>
      <c r="F10" s="120">
        <v>3.0</v>
      </c>
      <c r="G10" s="120">
        <v>2.0</v>
      </c>
      <c r="H10" s="120" t="s">
        <v>44</v>
      </c>
      <c r="I10" s="120">
        <v>0.0</v>
      </c>
      <c r="J10" s="120">
        <v>1.0</v>
      </c>
      <c r="K10" s="120">
        <v>1.0</v>
      </c>
      <c r="L10" s="120">
        <v>0.0</v>
      </c>
      <c r="M10" s="120" t="s">
        <v>71</v>
      </c>
      <c r="N10" s="120">
        <v>1.0</v>
      </c>
      <c r="O10" s="120">
        <v>2.0</v>
      </c>
      <c r="P10" s="120">
        <v>2.0</v>
      </c>
      <c r="Q10" s="120">
        <v>0.0</v>
      </c>
      <c r="R10" s="120" t="s">
        <v>40</v>
      </c>
      <c r="S10" s="120">
        <v>1.0</v>
      </c>
      <c r="T10" s="120">
        <v>1.0</v>
      </c>
      <c r="U10" s="120">
        <v>1.0</v>
      </c>
      <c r="V10" s="120">
        <v>2.0</v>
      </c>
      <c r="W10" s="120" t="s">
        <v>61</v>
      </c>
      <c r="X10" s="120">
        <v>0.0</v>
      </c>
      <c r="Y10" s="120">
        <v>3.0</v>
      </c>
      <c r="Z10" s="120">
        <v>3.0</v>
      </c>
      <c r="AA10" s="120">
        <v>0.0</v>
      </c>
      <c r="AB10" s="120" t="s">
        <v>59</v>
      </c>
      <c r="AC10" s="120">
        <v>0.0</v>
      </c>
      <c r="AD10" s="120">
        <v>0.0</v>
      </c>
      <c r="AE10" s="120">
        <v>2.0</v>
      </c>
      <c r="AF10" s="120">
        <v>1.0</v>
      </c>
      <c r="AG10" s="120" t="s">
        <v>56</v>
      </c>
      <c r="AH10" s="120">
        <v>1.0</v>
      </c>
      <c r="AI10" s="120">
        <v>4.0</v>
      </c>
      <c r="AJ10" s="120">
        <v>4.0</v>
      </c>
      <c r="AK10" s="120">
        <v>0.0</v>
      </c>
      <c r="AL10" s="120" t="s">
        <v>47</v>
      </c>
      <c r="AM10" s="120">
        <v>1.0</v>
      </c>
      <c r="AN10" s="120">
        <v>2.0</v>
      </c>
      <c r="AO10" s="120">
        <v>1.0</v>
      </c>
      <c r="AP10" s="120">
        <v>0.0</v>
      </c>
      <c r="AQ10" s="120" t="s">
        <v>68</v>
      </c>
    </row>
    <row r="11" ht="22.5" customHeight="1">
      <c r="A11" s="121">
        <v>46069.328172939815</v>
      </c>
      <c r="B11" s="120" t="s">
        <v>354</v>
      </c>
      <c r="C11" s="120" t="s">
        <v>11</v>
      </c>
      <c r="D11" s="120">
        <v>2.0</v>
      </c>
      <c r="E11" s="120">
        <v>3.0</v>
      </c>
      <c r="F11" s="120">
        <v>3.0</v>
      </c>
      <c r="G11" s="120">
        <v>1.0</v>
      </c>
      <c r="H11" s="120" t="s">
        <v>44</v>
      </c>
      <c r="I11" s="120">
        <v>1.0</v>
      </c>
      <c r="J11" s="120">
        <v>1.0</v>
      </c>
      <c r="K11" s="120">
        <v>2.0</v>
      </c>
      <c r="L11" s="120">
        <v>0.0</v>
      </c>
      <c r="M11" s="120" t="s">
        <v>71</v>
      </c>
      <c r="N11" s="120">
        <v>0.0</v>
      </c>
      <c r="O11" s="120">
        <v>0.0</v>
      </c>
      <c r="P11" s="120">
        <v>2.0</v>
      </c>
      <c r="Q11" s="120">
        <v>2.0</v>
      </c>
      <c r="R11" s="120" t="s">
        <v>70</v>
      </c>
      <c r="S11" s="120">
        <v>1.0</v>
      </c>
      <c r="T11" s="120">
        <v>1.0</v>
      </c>
      <c r="U11" s="120">
        <v>2.0</v>
      </c>
      <c r="V11" s="120">
        <v>0.0</v>
      </c>
      <c r="W11" s="120" t="s">
        <v>54</v>
      </c>
      <c r="X11" s="120">
        <v>1.0</v>
      </c>
      <c r="Y11" s="120">
        <v>3.0</v>
      </c>
      <c r="Z11" s="120">
        <v>3.0</v>
      </c>
      <c r="AA11" s="120">
        <v>0.0</v>
      </c>
      <c r="AB11" s="120" t="s">
        <v>59</v>
      </c>
      <c r="AC11" s="120">
        <v>1.0</v>
      </c>
      <c r="AD11" s="120">
        <v>0.0</v>
      </c>
      <c r="AE11" s="120">
        <v>1.0</v>
      </c>
      <c r="AF11" s="120">
        <v>1.0</v>
      </c>
      <c r="AG11" s="120" t="s">
        <v>48</v>
      </c>
      <c r="AH11" s="120">
        <v>3.0</v>
      </c>
      <c r="AI11" s="120">
        <v>2.0</v>
      </c>
      <c r="AJ11" s="120">
        <v>3.0</v>
      </c>
      <c r="AK11" s="120">
        <v>1.0</v>
      </c>
      <c r="AL11" s="120" t="s">
        <v>47</v>
      </c>
      <c r="AM11" s="120">
        <v>1.0</v>
      </c>
      <c r="AN11" s="120">
        <v>2.0</v>
      </c>
      <c r="AO11" s="120">
        <v>2.0</v>
      </c>
      <c r="AP11" s="120">
        <v>0.0</v>
      </c>
      <c r="AQ11" s="120" t="s">
        <v>68</v>
      </c>
    </row>
    <row r="12" ht="22.5" customHeight="1">
      <c r="A12" s="121">
        <v>46069.338099155095</v>
      </c>
      <c r="B12" s="120" t="s">
        <v>346</v>
      </c>
      <c r="C12" s="120" t="s">
        <v>8</v>
      </c>
      <c r="D12" s="120">
        <v>1.0</v>
      </c>
      <c r="E12" s="120">
        <v>2.0</v>
      </c>
      <c r="F12" s="120">
        <v>2.0</v>
      </c>
      <c r="G12" s="120">
        <v>1.0</v>
      </c>
      <c r="H12" s="120" t="s">
        <v>44</v>
      </c>
      <c r="I12" s="120">
        <v>1.0</v>
      </c>
      <c r="J12" s="120">
        <v>1.0</v>
      </c>
      <c r="K12" s="120">
        <v>3.0</v>
      </c>
      <c r="L12" s="120">
        <v>1.0</v>
      </c>
      <c r="M12" s="120" t="s">
        <v>71</v>
      </c>
      <c r="N12" s="120">
        <v>2.0</v>
      </c>
      <c r="O12" s="120">
        <v>2.0</v>
      </c>
      <c r="P12" s="120">
        <v>2.0</v>
      </c>
      <c r="Q12" s="120">
        <v>1.0</v>
      </c>
      <c r="R12" s="120" t="s">
        <v>40</v>
      </c>
      <c r="S12" s="120">
        <v>2.0</v>
      </c>
      <c r="T12" s="120">
        <v>1.0</v>
      </c>
      <c r="U12" s="120">
        <v>1.0</v>
      </c>
      <c r="V12" s="120">
        <v>1.0</v>
      </c>
      <c r="W12" s="120" t="s">
        <v>61</v>
      </c>
      <c r="X12" s="120">
        <v>1.0</v>
      </c>
      <c r="Y12" s="120">
        <v>2.0</v>
      </c>
      <c r="Z12" s="120">
        <v>2.0</v>
      </c>
      <c r="AA12" s="120">
        <v>0.0</v>
      </c>
      <c r="AB12" s="120" t="s">
        <v>59</v>
      </c>
      <c r="AC12" s="120">
        <v>2.0</v>
      </c>
      <c r="AD12" s="120">
        <v>1.0</v>
      </c>
      <c r="AE12" s="120">
        <v>3.0</v>
      </c>
      <c r="AF12" s="120">
        <v>1.0</v>
      </c>
      <c r="AG12" s="120" t="s">
        <v>56</v>
      </c>
      <c r="AH12" s="120">
        <v>1.0</v>
      </c>
      <c r="AI12" s="120">
        <v>2.0</v>
      </c>
      <c r="AJ12" s="120">
        <v>2.0</v>
      </c>
      <c r="AK12" s="120">
        <v>0.0</v>
      </c>
      <c r="AL12" s="120" t="s">
        <v>47</v>
      </c>
      <c r="AM12" s="120">
        <v>1.0</v>
      </c>
      <c r="AN12" s="120">
        <v>1.0</v>
      </c>
      <c r="AO12" s="120">
        <v>2.0</v>
      </c>
      <c r="AP12" s="120">
        <v>1.0</v>
      </c>
      <c r="AQ12" s="120" t="s">
        <v>68</v>
      </c>
    </row>
    <row r="13" ht="22.5" customHeight="1">
      <c r="A13" s="121">
        <v>46069.414119270834</v>
      </c>
      <c r="B13" s="120" t="s">
        <v>361</v>
      </c>
      <c r="C13" s="120" t="s">
        <v>4</v>
      </c>
      <c r="D13" s="120">
        <v>1.0</v>
      </c>
      <c r="E13" s="120">
        <v>2.0</v>
      </c>
      <c r="F13" s="120">
        <v>2.0</v>
      </c>
      <c r="G13" s="120">
        <v>0.0</v>
      </c>
      <c r="H13" s="120" t="s">
        <v>44</v>
      </c>
      <c r="I13" s="120">
        <v>2.0</v>
      </c>
      <c r="J13" s="120">
        <v>0.0</v>
      </c>
      <c r="K13" s="120">
        <v>1.0</v>
      </c>
      <c r="L13" s="120">
        <v>1.0</v>
      </c>
      <c r="M13" s="120" t="s">
        <v>58</v>
      </c>
      <c r="N13" s="120">
        <v>0.0</v>
      </c>
      <c r="O13" s="120">
        <v>1.0</v>
      </c>
      <c r="P13" s="120">
        <v>2.0</v>
      </c>
      <c r="Q13" s="120">
        <v>1.0</v>
      </c>
      <c r="R13" s="120" t="s">
        <v>40</v>
      </c>
      <c r="S13" s="120">
        <v>2.0</v>
      </c>
      <c r="T13" s="120">
        <v>0.0</v>
      </c>
      <c r="U13" s="120">
        <v>1.0</v>
      </c>
      <c r="V13" s="120">
        <v>1.0</v>
      </c>
      <c r="W13" s="120" t="s">
        <v>61</v>
      </c>
      <c r="X13" s="120">
        <v>1.0</v>
      </c>
      <c r="Y13" s="120">
        <v>1.0</v>
      </c>
      <c r="Z13" s="120">
        <v>2.0</v>
      </c>
      <c r="AA13" s="120">
        <v>0.0</v>
      </c>
      <c r="AB13" s="120" t="s">
        <v>59</v>
      </c>
      <c r="AC13" s="120">
        <v>1.0</v>
      </c>
      <c r="AD13" s="120">
        <v>1.0</v>
      </c>
      <c r="AE13" s="120">
        <v>1.0</v>
      </c>
      <c r="AF13" s="120">
        <v>0.0</v>
      </c>
      <c r="AG13" s="120" t="s">
        <v>56</v>
      </c>
      <c r="AH13" s="120">
        <v>1.0</v>
      </c>
      <c r="AI13" s="120">
        <v>1.0</v>
      </c>
      <c r="AJ13" s="120">
        <v>3.0</v>
      </c>
      <c r="AK13" s="120">
        <v>1.0</v>
      </c>
      <c r="AL13" s="120" t="s">
        <v>47</v>
      </c>
      <c r="AM13" s="120">
        <v>1.0</v>
      </c>
      <c r="AN13" s="120">
        <v>0.0</v>
      </c>
      <c r="AO13" s="120">
        <v>2.0</v>
      </c>
      <c r="AP13" s="120">
        <v>0.0</v>
      </c>
      <c r="AQ13" s="120" t="s">
        <v>68</v>
      </c>
    </row>
    <row r="14" ht="22.5" customHeight="1">
      <c r="A14" s="121">
        <v>46069.44111930556</v>
      </c>
      <c r="B14" s="120" t="s">
        <v>325</v>
      </c>
      <c r="C14" s="120" t="s">
        <v>16</v>
      </c>
      <c r="D14" s="120">
        <v>1.0</v>
      </c>
      <c r="E14" s="120">
        <v>2.0</v>
      </c>
      <c r="F14" s="120">
        <v>3.0</v>
      </c>
      <c r="G14" s="120">
        <v>0.0</v>
      </c>
      <c r="H14" s="120" t="s">
        <v>44</v>
      </c>
      <c r="I14" s="120">
        <v>1.0</v>
      </c>
      <c r="J14" s="120">
        <v>1.0</v>
      </c>
      <c r="K14" s="120">
        <v>2.0</v>
      </c>
      <c r="L14" s="120">
        <v>0.0</v>
      </c>
      <c r="M14" s="120" t="s">
        <v>71</v>
      </c>
      <c r="N14" s="120">
        <v>0.0</v>
      </c>
      <c r="O14" s="120">
        <v>2.0</v>
      </c>
      <c r="P14" s="120">
        <v>3.0</v>
      </c>
      <c r="Q14" s="120">
        <v>1.0</v>
      </c>
      <c r="R14" s="120" t="s">
        <v>40</v>
      </c>
      <c r="S14" s="120">
        <v>2.0</v>
      </c>
      <c r="T14" s="120">
        <v>1.0</v>
      </c>
      <c r="U14" s="120">
        <v>2.0</v>
      </c>
      <c r="V14" s="120">
        <v>2.0</v>
      </c>
      <c r="W14" s="120" t="s">
        <v>61</v>
      </c>
      <c r="X14" s="120">
        <v>1.0</v>
      </c>
      <c r="Y14" s="120">
        <v>3.0</v>
      </c>
      <c r="Z14" s="120">
        <v>2.0</v>
      </c>
      <c r="AA14" s="120">
        <v>0.0</v>
      </c>
      <c r="AB14" s="120" t="s">
        <v>59</v>
      </c>
      <c r="AC14" s="120">
        <v>1.0</v>
      </c>
      <c r="AD14" s="120">
        <v>1.0</v>
      </c>
      <c r="AE14" s="120">
        <v>3.0</v>
      </c>
      <c r="AF14" s="120">
        <v>1.0</v>
      </c>
      <c r="AG14" s="120" t="s">
        <v>56</v>
      </c>
      <c r="AH14" s="120">
        <v>1.0</v>
      </c>
      <c r="AI14" s="120">
        <v>1.0</v>
      </c>
      <c r="AJ14" s="120">
        <v>2.0</v>
      </c>
      <c r="AK14" s="120">
        <v>0.0</v>
      </c>
      <c r="AL14" s="120" t="s">
        <v>47</v>
      </c>
      <c r="AM14" s="120">
        <v>2.0</v>
      </c>
      <c r="AN14" s="120">
        <v>1.0</v>
      </c>
      <c r="AO14" s="120">
        <v>1.0</v>
      </c>
      <c r="AP14" s="120">
        <v>1.0</v>
      </c>
      <c r="AQ14" s="120" t="s">
        <v>74</v>
      </c>
    </row>
    <row r="15" ht="22.5" customHeight="1">
      <c r="A15" s="121">
        <v>46069.72576207176</v>
      </c>
      <c r="B15" s="120" t="s">
        <v>348</v>
      </c>
      <c r="C15" s="120" t="s">
        <v>18</v>
      </c>
      <c r="D15" s="120">
        <v>0.0</v>
      </c>
      <c r="E15" s="120">
        <v>2.0</v>
      </c>
      <c r="F15" s="120">
        <v>3.0</v>
      </c>
      <c r="G15" s="120">
        <v>0.0</v>
      </c>
      <c r="H15" s="120" t="s">
        <v>44</v>
      </c>
      <c r="I15" s="120">
        <v>1.0</v>
      </c>
      <c r="J15" s="120">
        <v>0.0</v>
      </c>
      <c r="K15" s="120">
        <v>2.0</v>
      </c>
      <c r="L15" s="120">
        <v>1.0</v>
      </c>
      <c r="M15" s="120" t="s">
        <v>71</v>
      </c>
      <c r="N15" s="120">
        <v>1.0</v>
      </c>
      <c r="O15" s="120">
        <v>0.0</v>
      </c>
      <c r="P15" s="120">
        <v>3.0</v>
      </c>
      <c r="Q15" s="120">
        <v>1.0</v>
      </c>
      <c r="R15" s="120" t="s">
        <v>40</v>
      </c>
      <c r="S15" s="120">
        <v>1.0</v>
      </c>
      <c r="T15" s="120">
        <v>0.0</v>
      </c>
      <c r="U15" s="120">
        <v>1.0</v>
      </c>
      <c r="V15" s="120">
        <v>2.0</v>
      </c>
      <c r="W15" s="120" t="s">
        <v>61</v>
      </c>
      <c r="X15" s="120">
        <v>1.0</v>
      </c>
      <c r="Y15" s="120">
        <v>2.0</v>
      </c>
      <c r="Z15" s="120">
        <v>3.0</v>
      </c>
      <c r="AA15" s="120">
        <v>0.0</v>
      </c>
      <c r="AB15" s="120" t="s">
        <v>59</v>
      </c>
      <c r="AC15" s="120">
        <v>1.0</v>
      </c>
      <c r="AD15" s="120">
        <v>1.0</v>
      </c>
      <c r="AE15" s="120">
        <v>2.0</v>
      </c>
      <c r="AF15" s="120">
        <v>0.0</v>
      </c>
      <c r="AG15" s="120" t="s">
        <v>56</v>
      </c>
      <c r="AH15" s="120">
        <v>0.0</v>
      </c>
      <c r="AI15" s="120">
        <v>1.0</v>
      </c>
      <c r="AJ15" s="120">
        <v>2.0</v>
      </c>
      <c r="AK15" s="120">
        <v>0.0</v>
      </c>
      <c r="AL15" s="120" t="s">
        <v>47</v>
      </c>
      <c r="AM15" s="120">
        <v>1.0</v>
      </c>
      <c r="AN15" s="120">
        <v>1.0</v>
      </c>
      <c r="AO15" s="120">
        <v>2.0</v>
      </c>
      <c r="AP15" s="120">
        <v>0.0</v>
      </c>
      <c r="AQ15" s="120" t="s">
        <v>68</v>
      </c>
    </row>
    <row r="16" ht="22.5" customHeight="1">
      <c r="A16" s="121">
        <v>46070.31506137732</v>
      </c>
      <c r="B16" s="120" t="s">
        <v>342</v>
      </c>
      <c r="C16" s="120" t="s">
        <v>7</v>
      </c>
      <c r="D16" s="120">
        <v>0.0</v>
      </c>
      <c r="E16" s="120">
        <v>2.0</v>
      </c>
      <c r="F16" s="120">
        <v>4.0</v>
      </c>
      <c r="G16" s="120">
        <v>1.0</v>
      </c>
      <c r="H16" s="120" t="s">
        <v>44</v>
      </c>
      <c r="I16" s="120">
        <v>2.0</v>
      </c>
      <c r="J16" s="120">
        <v>1.0</v>
      </c>
      <c r="K16" s="120">
        <v>2.0</v>
      </c>
      <c r="L16" s="120">
        <v>1.0</v>
      </c>
      <c r="M16" s="120" t="s">
        <v>71</v>
      </c>
      <c r="N16" s="120">
        <v>2.0</v>
      </c>
      <c r="O16" s="120">
        <v>2.0</v>
      </c>
      <c r="P16" s="120">
        <v>4.0</v>
      </c>
      <c r="Q16" s="120">
        <v>2.0</v>
      </c>
      <c r="R16" s="120" t="s">
        <v>40</v>
      </c>
      <c r="S16" s="120">
        <v>3.0</v>
      </c>
      <c r="T16" s="120">
        <v>0.0</v>
      </c>
      <c r="U16" s="120">
        <v>1.0</v>
      </c>
      <c r="V16" s="120">
        <v>1.0</v>
      </c>
      <c r="W16" s="120" t="s">
        <v>61</v>
      </c>
      <c r="X16" s="120">
        <v>0.0</v>
      </c>
      <c r="Y16" s="120">
        <v>2.0</v>
      </c>
      <c r="Z16" s="120">
        <v>5.0</v>
      </c>
      <c r="AA16" s="120">
        <v>1.0</v>
      </c>
      <c r="AB16" s="120" t="s">
        <v>59</v>
      </c>
      <c r="AC16" s="120">
        <v>0.0</v>
      </c>
      <c r="AD16" s="120">
        <v>2.0</v>
      </c>
      <c r="AE16" s="120">
        <v>2.0</v>
      </c>
      <c r="AF16" s="120">
        <v>1.0</v>
      </c>
      <c r="AG16" s="120" t="s">
        <v>56</v>
      </c>
      <c r="AH16" s="120">
        <v>0.0</v>
      </c>
      <c r="AI16" s="120">
        <v>2.0</v>
      </c>
      <c r="AJ16" s="120">
        <v>4.0</v>
      </c>
      <c r="AK16" s="120">
        <v>1.0</v>
      </c>
      <c r="AL16" s="120" t="s">
        <v>47</v>
      </c>
      <c r="AM16" s="120">
        <v>1.0</v>
      </c>
      <c r="AN16" s="120">
        <v>3.0</v>
      </c>
      <c r="AO16" s="120">
        <v>3.0</v>
      </c>
      <c r="AP16" s="120">
        <v>1.0</v>
      </c>
      <c r="AQ16" s="120" t="s">
        <v>68</v>
      </c>
    </row>
    <row r="17" ht="22.5" customHeight="1">
      <c r="A17" s="121">
        <v>46070.315274548615</v>
      </c>
      <c r="B17" s="120" t="s">
        <v>363</v>
      </c>
      <c r="C17" s="120" t="s">
        <v>20</v>
      </c>
      <c r="D17" s="120">
        <v>1.0</v>
      </c>
      <c r="E17" s="120">
        <v>2.0</v>
      </c>
      <c r="F17" s="120">
        <v>2.0</v>
      </c>
      <c r="G17" s="120">
        <v>2.0</v>
      </c>
      <c r="H17" s="120" t="s">
        <v>44</v>
      </c>
      <c r="I17" s="120">
        <v>1.0</v>
      </c>
      <c r="J17" s="120">
        <v>1.0</v>
      </c>
      <c r="K17" s="120">
        <v>1.0</v>
      </c>
      <c r="L17" s="120">
        <v>1.0</v>
      </c>
      <c r="M17" s="120" t="s">
        <v>71</v>
      </c>
      <c r="N17" s="120">
        <v>1.0</v>
      </c>
      <c r="O17" s="120">
        <v>2.0</v>
      </c>
      <c r="P17" s="120">
        <v>3.0</v>
      </c>
      <c r="Q17" s="120">
        <v>2.0</v>
      </c>
      <c r="R17" s="120" t="s">
        <v>40</v>
      </c>
      <c r="S17" s="120">
        <v>1.0</v>
      </c>
      <c r="T17" s="120">
        <v>1.0</v>
      </c>
      <c r="U17" s="120">
        <v>1.0</v>
      </c>
      <c r="V17" s="120">
        <v>1.0</v>
      </c>
      <c r="W17" s="120" t="s">
        <v>61</v>
      </c>
      <c r="X17" s="120">
        <v>1.0</v>
      </c>
      <c r="Y17" s="120">
        <v>2.0</v>
      </c>
      <c r="Z17" s="120">
        <v>2.0</v>
      </c>
      <c r="AA17" s="120">
        <v>0.0</v>
      </c>
      <c r="AB17" s="120" t="s">
        <v>59</v>
      </c>
      <c r="AC17" s="120">
        <v>1.0</v>
      </c>
      <c r="AD17" s="120">
        <v>2.0</v>
      </c>
      <c r="AE17" s="120">
        <v>3.0</v>
      </c>
      <c r="AF17" s="120">
        <v>1.0</v>
      </c>
      <c r="AG17" s="120" t="s">
        <v>56</v>
      </c>
      <c r="AH17" s="120">
        <v>1.0</v>
      </c>
      <c r="AI17" s="120">
        <v>2.0</v>
      </c>
      <c r="AJ17" s="120">
        <v>4.0</v>
      </c>
      <c r="AK17" s="120">
        <v>1.0</v>
      </c>
      <c r="AL17" s="120" t="s">
        <v>47</v>
      </c>
      <c r="AM17" s="120">
        <v>1.0</v>
      </c>
      <c r="AN17" s="120">
        <v>2.0</v>
      </c>
      <c r="AO17" s="120">
        <v>2.0</v>
      </c>
      <c r="AP17" s="120">
        <v>1.0</v>
      </c>
      <c r="AQ17" s="120" t="s">
        <v>68</v>
      </c>
    </row>
    <row r="18" ht="22.5" customHeight="1">
      <c r="A18" s="121">
        <v>46070.31840128472</v>
      </c>
      <c r="B18" s="120" t="s">
        <v>340</v>
      </c>
      <c r="C18" s="120" t="s">
        <v>9</v>
      </c>
      <c r="D18" s="120">
        <v>1.0</v>
      </c>
      <c r="E18" s="120">
        <v>1.0</v>
      </c>
      <c r="F18" s="120">
        <v>2.0</v>
      </c>
      <c r="G18" s="120">
        <v>1.0</v>
      </c>
      <c r="H18" s="120" t="s">
        <v>44</v>
      </c>
      <c r="I18" s="120">
        <v>2.0</v>
      </c>
      <c r="J18" s="120">
        <v>1.0</v>
      </c>
      <c r="K18" s="120">
        <v>3.0</v>
      </c>
      <c r="L18" s="120">
        <v>1.0</v>
      </c>
      <c r="M18" s="120" t="s">
        <v>71</v>
      </c>
      <c r="N18" s="120">
        <v>1.0</v>
      </c>
      <c r="O18" s="120">
        <v>0.0</v>
      </c>
      <c r="P18" s="120">
        <v>3.0</v>
      </c>
      <c r="Q18" s="120">
        <v>1.0</v>
      </c>
      <c r="R18" s="120" t="s">
        <v>40</v>
      </c>
      <c r="S18" s="120">
        <v>3.0</v>
      </c>
      <c r="T18" s="120">
        <v>1.0</v>
      </c>
      <c r="U18" s="120">
        <v>1.0</v>
      </c>
      <c r="V18" s="120">
        <v>2.0</v>
      </c>
      <c r="W18" s="120" t="s">
        <v>61</v>
      </c>
      <c r="X18" s="120">
        <v>1.0</v>
      </c>
      <c r="Y18" s="120">
        <v>3.0</v>
      </c>
      <c r="Z18" s="120">
        <v>4.0</v>
      </c>
      <c r="AA18" s="120">
        <v>1.0</v>
      </c>
      <c r="AB18" s="120" t="s">
        <v>59</v>
      </c>
      <c r="AC18" s="120">
        <v>1.0</v>
      </c>
      <c r="AD18" s="120">
        <v>1.0</v>
      </c>
      <c r="AE18" s="120">
        <v>1.0</v>
      </c>
      <c r="AF18" s="120">
        <v>0.0</v>
      </c>
      <c r="AG18" s="120" t="s">
        <v>56</v>
      </c>
      <c r="AH18" s="120">
        <v>0.0</v>
      </c>
      <c r="AI18" s="120">
        <v>2.0</v>
      </c>
      <c r="AJ18" s="120">
        <v>2.0</v>
      </c>
      <c r="AK18" s="120">
        <v>0.0</v>
      </c>
      <c r="AL18" s="120" t="s">
        <v>47</v>
      </c>
      <c r="AM18" s="120">
        <v>1.0</v>
      </c>
      <c r="AN18" s="120">
        <v>2.0</v>
      </c>
      <c r="AO18" s="120">
        <v>3.0</v>
      </c>
      <c r="AP18" s="120">
        <v>1.0</v>
      </c>
      <c r="AQ18" s="120" t="s">
        <v>68</v>
      </c>
    </row>
    <row r="19" ht="22.5" customHeight="1">
      <c r="A19" s="121">
        <v>46070.32586607639</v>
      </c>
      <c r="B19" s="120" t="s">
        <v>331</v>
      </c>
      <c r="C19" s="120" t="s">
        <v>21</v>
      </c>
      <c r="D19" s="120">
        <v>1.0</v>
      </c>
      <c r="E19" s="120">
        <v>2.0</v>
      </c>
      <c r="F19" s="120">
        <v>3.0</v>
      </c>
      <c r="G19" s="120">
        <v>0.0</v>
      </c>
      <c r="H19" s="120" t="s">
        <v>44</v>
      </c>
      <c r="I19" s="120">
        <v>1.0</v>
      </c>
      <c r="J19" s="120">
        <v>1.0</v>
      </c>
      <c r="K19" s="120">
        <v>2.0</v>
      </c>
      <c r="L19" s="120">
        <v>1.0</v>
      </c>
      <c r="M19" s="120" t="s">
        <v>71</v>
      </c>
      <c r="N19" s="120">
        <v>1.0</v>
      </c>
      <c r="O19" s="120">
        <v>3.0</v>
      </c>
      <c r="P19" s="120">
        <v>2.0</v>
      </c>
      <c r="Q19" s="120">
        <v>1.0</v>
      </c>
      <c r="R19" s="120" t="s">
        <v>40</v>
      </c>
      <c r="S19" s="120">
        <v>2.0</v>
      </c>
      <c r="T19" s="120">
        <v>0.0</v>
      </c>
      <c r="U19" s="120">
        <v>1.0</v>
      </c>
      <c r="V19" s="120">
        <v>4.0</v>
      </c>
      <c r="W19" s="120" t="s">
        <v>61</v>
      </c>
      <c r="X19" s="120">
        <v>1.0</v>
      </c>
      <c r="Y19" s="120">
        <v>1.0</v>
      </c>
      <c r="Z19" s="120">
        <v>1.0</v>
      </c>
      <c r="AA19" s="120">
        <v>0.0</v>
      </c>
      <c r="AB19" s="120" t="s">
        <v>59</v>
      </c>
      <c r="AC19" s="120">
        <v>2.0</v>
      </c>
      <c r="AD19" s="120">
        <v>1.0</v>
      </c>
      <c r="AE19" s="120">
        <v>3.0</v>
      </c>
      <c r="AF19" s="120">
        <v>1.0</v>
      </c>
      <c r="AG19" s="120" t="s">
        <v>56</v>
      </c>
      <c r="AH19" s="120">
        <v>1.0</v>
      </c>
      <c r="AI19" s="120">
        <v>2.0</v>
      </c>
      <c r="AJ19" s="120">
        <v>2.0</v>
      </c>
      <c r="AK19" s="120">
        <v>0.0</v>
      </c>
      <c r="AL19" s="120" t="s">
        <v>47</v>
      </c>
      <c r="AM19" s="120">
        <v>1.0</v>
      </c>
      <c r="AN19" s="120">
        <v>1.0</v>
      </c>
      <c r="AO19" s="120">
        <v>3.0</v>
      </c>
      <c r="AP19" s="120">
        <v>2.0</v>
      </c>
      <c r="AQ19" s="120" t="s">
        <v>68</v>
      </c>
    </row>
    <row r="20" ht="22.5" customHeight="1">
      <c r="A20" s="121">
        <v>46070.354895428245</v>
      </c>
      <c r="B20" s="120" t="s">
        <v>405</v>
      </c>
      <c r="C20" s="120" t="s">
        <v>13</v>
      </c>
      <c r="D20" s="120">
        <v>0.0</v>
      </c>
      <c r="E20" s="120">
        <v>2.0</v>
      </c>
      <c r="F20" s="120">
        <v>2.0</v>
      </c>
      <c r="G20" s="120">
        <v>0.0</v>
      </c>
      <c r="H20" s="120" t="s">
        <v>44</v>
      </c>
      <c r="I20" s="120">
        <v>0.0</v>
      </c>
      <c r="J20" s="120">
        <v>1.0</v>
      </c>
      <c r="K20" s="120">
        <v>2.0</v>
      </c>
      <c r="L20" s="120">
        <v>0.0</v>
      </c>
      <c r="M20" s="120" t="s">
        <v>71</v>
      </c>
      <c r="N20" s="120">
        <v>1.0</v>
      </c>
      <c r="O20" s="120">
        <v>0.0</v>
      </c>
      <c r="P20" s="120">
        <v>2.0</v>
      </c>
      <c r="Q20" s="120">
        <v>0.0</v>
      </c>
      <c r="R20" s="120" t="s">
        <v>40</v>
      </c>
      <c r="S20" s="120">
        <v>2.0</v>
      </c>
      <c r="T20" s="120">
        <v>1.0</v>
      </c>
      <c r="U20" s="120">
        <v>1.0</v>
      </c>
      <c r="V20" s="120">
        <v>1.0</v>
      </c>
      <c r="W20" s="120" t="s">
        <v>61</v>
      </c>
      <c r="X20" s="120">
        <v>0.0</v>
      </c>
      <c r="Y20" s="120">
        <v>1.0</v>
      </c>
      <c r="Z20" s="120">
        <v>3.0</v>
      </c>
      <c r="AA20" s="120">
        <v>0.0</v>
      </c>
      <c r="AB20" s="120" t="s">
        <v>59</v>
      </c>
      <c r="AC20" s="120">
        <v>0.0</v>
      </c>
      <c r="AD20" s="120">
        <v>1.0</v>
      </c>
      <c r="AE20" s="120">
        <v>2.0</v>
      </c>
      <c r="AF20" s="120">
        <v>0.0</v>
      </c>
      <c r="AG20" s="120" t="s">
        <v>56</v>
      </c>
      <c r="AH20" s="120">
        <v>0.0</v>
      </c>
      <c r="AI20" s="120">
        <v>2.0</v>
      </c>
      <c r="AJ20" s="120">
        <v>3.0</v>
      </c>
      <c r="AK20" s="120">
        <v>0.0</v>
      </c>
      <c r="AL20" s="120" t="s">
        <v>47</v>
      </c>
      <c r="AM20" s="120">
        <v>1.0</v>
      </c>
      <c r="AN20" s="120">
        <v>1.0</v>
      </c>
      <c r="AO20" s="120">
        <v>2.0</v>
      </c>
      <c r="AP20" s="120">
        <v>0.0</v>
      </c>
      <c r="AQ20" s="120" t="s">
        <v>68</v>
      </c>
    </row>
    <row r="21" ht="22.5" customHeight="1">
      <c r="A21" s="121">
        <v>46070.38091128472</v>
      </c>
      <c r="B21" s="120" t="s">
        <v>359</v>
      </c>
      <c r="C21" s="120" t="s">
        <v>12</v>
      </c>
      <c r="D21" s="120">
        <v>0.0</v>
      </c>
      <c r="E21" s="120">
        <v>2.0</v>
      </c>
      <c r="F21" s="120">
        <v>2.0</v>
      </c>
      <c r="G21" s="120">
        <v>0.0</v>
      </c>
      <c r="H21" s="120" t="s">
        <v>44</v>
      </c>
      <c r="I21" s="120">
        <v>1.0</v>
      </c>
      <c r="J21" s="120">
        <v>1.0</v>
      </c>
      <c r="K21" s="120">
        <v>2.0</v>
      </c>
      <c r="L21" s="120">
        <v>0.0</v>
      </c>
      <c r="M21" s="120" t="s">
        <v>71</v>
      </c>
      <c r="N21" s="120">
        <v>1.0</v>
      </c>
      <c r="O21" s="120">
        <v>1.0</v>
      </c>
      <c r="P21" s="120">
        <v>2.0</v>
      </c>
      <c r="Q21" s="120">
        <v>1.0</v>
      </c>
      <c r="R21" s="120" t="s">
        <v>40</v>
      </c>
      <c r="S21" s="120">
        <v>2.0</v>
      </c>
      <c r="T21" s="120">
        <v>1.0</v>
      </c>
      <c r="U21" s="120">
        <v>2.0</v>
      </c>
      <c r="V21" s="120">
        <v>2.0</v>
      </c>
      <c r="W21" s="120" t="s">
        <v>61</v>
      </c>
      <c r="X21" s="120">
        <v>0.0</v>
      </c>
      <c r="Y21" s="120">
        <v>0.0</v>
      </c>
      <c r="Z21" s="120">
        <v>1.0</v>
      </c>
      <c r="AA21" s="120">
        <v>0.0</v>
      </c>
      <c r="AB21" s="120" t="s">
        <v>59</v>
      </c>
      <c r="AC21" s="120">
        <v>1.0</v>
      </c>
      <c r="AD21" s="120">
        <v>1.0</v>
      </c>
      <c r="AE21" s="120">
        <v>1.0</v>
      </c>
      <c r="AF21" s="120">
        <v>1.0</v>
      </c>
      <c r="AG21" s="120" t="s">
        <v>56</v>
      </c>
      <c r="AH21" s="120">
        <v>1.0</v>
      </c>
      <c r="AI21" s="120">
        <v>2.0</v>
      </c>
      <c r="AJ21" s="120">
        <v>2.0</v>
      </c>
      <c r="AK21" s="120">
        <v>0.0</v>
      </c>
      <c r="AL21" s="120" t="s">
        <v>47</v>
      </c>
      <c r="AM21" s="120">
        <v>2.0</v>
      </c>
      <c r="AN21" s="120">
        <v>2.0</v>
      </c>
      <c r="AO21" s="120">
        <v>1.0</v>
      </c>
      <c r="AP21" s="120">
        <v>0.0</v>
      </c>
      <c r="AQ21" s="120" t="s">
        <v>68</v>
      </c>
    </row>
    <row r="22" ht="22.5" customHeight="1">
      <c r="A22" s="121">
        <v>46070.38713215278</v>
      </c>
      <c r="B22" s="120" t="s">
        <v>364</v>
      </c>
      <c r="C22" s="120" t="s">
        <v>19</v>
      </c>
      <c r="D22" s="120">
        <v>2.0</v>
      </c>
      <c r="E22" s="120">
        <v>0.0</v>
      </c>
      <c r="F22" s="120">
        <v>3.0</v>
      </c>
      <c r="G22" s="120">
        <v>1.0</v>
      </c>
      <c r="H22" s="120" t="s">
        <v>44</v>
      </c>
      <c r="I22" s="120">
        <v>1.0</v>
      </c>
      <c r="J22" s="120">
        <v>2.0</v>
      </c>
      <c r="K22" s="120">
        <v>3.0</v>
      </c>
      <c r="L22" s="120">
        <v>0.0</v>
      </c>
      <c r="M22" s="120" t="s">
        <v>71</v>
      </c>
      <c r="N22" s="120">
        <v>0.0</v>
      </c>
      <c r="O22" s="120">
        <v>1.0</v>
      </c>
      <c r="P22" s="120">
        <v>2.0</v>
      </c>
      <c r="Q22" s="120">
        <v>0.0</v>
      </c>
      <c r="R22" s="120" t="s">
        <v>40</v>
      </c>
      <c r="S22" s="120">
        <v>2.0</v>
      </c>
      <c r="T22" s="120">
        <v>0.0</v>
      </c>
      <c r="U22" s="120">
        <v>1.0</v>
      </c>
      <c r="V22" s="120">
        <v>1.0</v>
      </c>
      <c r="W22" s="120" t="s">
        <v>61</v>
      </c>
      <c r="X22" s="120">
        <v>1.0</v>
      </c>
      <c r="Y22" s="120">
        <v>2.0</v>
      </c>
      <c r="Z22" s="120">
        <v>3.0</v>
      </c>
      <c r="AA22" s="120">
        <v>1.0</v>
      </c>
      <c r="AB22" s="120" t="s">
        <v>59</v>
      </c>
      <c r="AC22" s="120">
        <v>3.0</v>
      </c>
      <c r="AD22" s="120">
        <v>1.0</v>
      </c>
      <c r="AE22" s="120">
        <v>2.0</v>
      </c>
      <c r="AF22" s="120">
        <v>1.0</v>
      </c>
      <c r="AG22" s="120" t="s">
        <v>48</v>
      </c>
      <c r="AH22" s="120">
        <v>0.0</v>
      </c>
      <c r="AI22" s="120">
        <v>2.0</v>
      </c>
      <c r="AJ22" s="120">
        <v>2.0</v>
      </c>
      <c r="AK22" s="120">
        <v>1.0</v>
      </c>
      <c r="AL22" s="120" t="s">
        <v>47</v>
      </c>
      <c r="AM22" s="120">
        <v>2.0</v>
      </c>
      <c r="AN22" s="120">
        <v>0.0</v>
      </c>
      <c r="AO22" s="120">
        <v>3.0</v>
      </c>
      <c r="AP22" s="120">
        <v>1.0</v>
      </c>
      <c r="AQ22" s="120" t="s">
        <v>74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4" width="24.25"/>
    <col customWidth="1" min="5" max="5" width="22.75"/>
    <col customWidth="1" min="6" max="11" width="18.88"/>
  </cols>
  <sheetData>
    <row r="1" ht="22.5" customHeight="1">
      <c r="A1" s="117" t="s">
        <v>179</v>
      </c>
      <c r="B1" s="117" t="s">
        <v>180</v>
      </c>
      <c r="C1" s="117" t="s">
        <v>181</v>
      </c>
      <c r="D1" s="123" t="s">
        <v>376</v>
      </c>
      <c r="E1" s="123" t="s">
        <v>406</v>
      </c>
      <c r="F1" s="123" t="s">
        <v>407</v>
      </c>
      <c r="G1" s="123" t="s">
        <v>375</v>
      </c>
    </row>
    <row r="2" ht="22.5" customHeight="1">
      <c r="A2" s="124" t="s">
        <v>179</v>
      </c>
      <c r="B2" s="124" t="s">
        <v>180</v>
      </c>
      <c r="C2" s="124" t="s">
        <v>181</v>
      </c>
      <c r="D2" s="125" t="s">
        <v>408</v>
      </c>
      <c r="E2" s="124" t="s">
        <v>409</v>
      </c>
      <c r="F2" s="124"/>
      <c r="G2" s="124"/>
    </row>
    <row r="3" ht="22.5" customHeight="1">
      <c r="A3" s="118">
        <v>45915.43551565972</v>
      </c>
      <c r="B3" s="119" t="s">
        <v>337</v>
      </c>
      <c r="C3" s="119" t="s">
        <v>15</v>
      </c>
      <c r="D3" s="119">
        <v>1.0</v>
      </c>
      <c r="E3" s="119">
        <v>2.0</v>
      </c>
      <c r="F3" s="126"/>
      <c r="G3" s="126"/>
    </row>
    <row r="4" ht="22.5" customHeight="1">
      <c r="A4" s="121">
        <v>45915.45147868055</v>
      </c>
      <c r="B4" s="120" t="s">
        <v>325</v>
      </c>
      <c r="C4" s="120" t="s">
        <v>16</v>
      </c>
      <c r="D4" s="120">
        <v>1.0</v>
      </c>
      <c r="E4" s="120">
        <v>3.0</v>
      </c>
      <c r="F4" s="127"/>
      <c r="G4" s="127"/>
    </row>
    <row r="5" ht="22.5" customHeight="1">
      <c r="A5" s="121">
        <v>45915.49806438657</v>
      </c>
      <c r="B5" s="120" t="s">
        <v>342</v>
      </c>
      <c r="C5" s="120" t="s">
        <v>7</v>
      </c>
      <c r="D5" s="120">
        <v>3.0</v>
      </c>
      <c r="E5" s="120">
        <v>2.0</v>
      </c>
      <c r="F5" s="127"/>
      <c r="G5" s="127"/>
    </row>
    <row r="6" ht="22.5" customHeight="1">
      <c r="A6" s="121">
        <v>45915.52316070602</v>
      </c>
      <c r="B6" s="120" t="s">
        <v>331</v>
      </c>
      <c r="C6" s="120" t="s">
        <v>21</v>
      </c>
      <c r="D6" s="120">
        <v>1.0</v>
      </c>
      <c r="E6" s="120">
        <v>3.0</v>
      </c>
      <c r="F6" s="127"/>
      <c r="G6" s="127"/>
    </row>
    <row r="7" ht="22.5" customHeight="1">
      <c r="A7" s="121">
        <v>45915.554448379626</v>
      </c>
      <c r="B7" s="120" t="s">
        <v>343</v>
      </c>
      <c r="C7" s="120" t="s">
        <v>5</v>
      </c>
      <c r="D7" s="120">
        <v>3.0</v>
      </c>
      <c r="E7" s="120">
        <v>2.0</v>
      </c>
      <c r="F7" s="127"/>
      <c r="G7" s="127"/>
    </row>
    <row r="8" ht="22.5" customHeight="1">
      <c r="A8" s="121">
        <v>45915.58120803241</v>
      </c>
      <c r="B8" s="120" t="s">
        <v>345</v>
      </c>
      <c r="C8" s="120" t="s">
        <v>6</v>
      </c>
      <c r="D8" s="120">
        <v>2.0</v>
      </c>
      <c r="E8" s="120">
        <v>1.0</v>
      </c>
      <c r="F8" s="127"/>
      <c r="G8" s="127"/>
    </row>
    <row r="9" ht="22.5" customHeight="1">
      <c r="A9" s="121">
        <v>45915.58724482638</v>
      </c>
      <c r="B9" s="120" t="s">
        <v>334</v>
      </c>
      <c r="C9" s="120" t="s">
        <v>17</v>
      </c>
      <c r="D9" s="120">
        <v>3.0</v>
      </c>
      <c r="E9" s="120">
        <v>1.0</v>
      </c>
      <c r="F9" s="127"/>
      <c r="G9" s="127"/>
    </row>
    <row r="10" ht="22.5" customHeight="1">
      <c r="A10" s="121">
        <v>45915.65863576389</v>
      </c>
      <c r="B10" s="120" t="s">
        <v>347</v>
      </c>
      <c r="C10" s="120" t="s">
        <v>10</v>
      </c>
      <c r="D10" s="120">
        <v>1.0</v>
      </c>
      <c r="E10" s="120">
        <v>3.0</v>
      </c>
      <c r="F10" s="127"/>
      <c r="G10" s="127"/>
    </row>
    <row r="11" ht="22.5" customHeight="1">
      <c r="A11" s="121">
        <v>45915.70790616898</v>
      </c>
      <c r="B11" s="120" t="s">
        <v>350</v>
      </c>
      <c r="C11" s="120" t="s">
        <v>2</v>
      </c>
      <c r="D11" s="120">
        <v>2.0</v>
      </c>
      <c r="E11" s="120">
        <v>1.0</v>
      </c>
      <c r="F11" s="127"/>
      <c r="G11" s="127"/>
    </row>
    <row r="12" ht="22.5" customHeight="1">
      <c r="A12" s="121">
        <v>45915.724315879634</v>
      </c>
      <c r="B12" s="120" t="s">
        <v>348</v>
      </c>
      <c r="C12" s="120" t="s">
        <v>18</v>
      </c>
      <c r="D12" s="120">
        <v>2.0</v>
      </c>
      <c r="E12" s="120">
        <v>2.0</v>
      </c>
      <c r="F12" s="127"/>
      <c r="G12" s="127"/>
    </row>
    <row r="13" ht="22.5" customHeight="1">
      <c r="A13" s="121">
        <v>45915.73908467592</v>
      </c>
      <c r="B13" s="120" t="s">
        <v>340</v>
      </c>
      <c r="C13" s="120" t="s">
        <v>9</v>
      </c>
      <c r="D13" s="120">
        <v>1.0</v>
      </c>
      <c r="E13" s="120">
        <v>1.0</v>
      </c>
      <c r="F13" s="127"/>
      <c r="G13" s="127"/>
    </row>
    <row r="14" ht="22.5" customHeight="1">
      <c r="A14" s="121">
        <v>45915.76460387732</v>
      </c>
      <c r="B14" s="120" t="s">
        <v>346</v>
      </c>
      <c r="C14" s="120" t="s">
        <v>8</v>
      </c>
      <c r="D14" s="120">
        <v>3.0</v>
      </c>
      <c r="E14" s="120">
        <v>1.0</v>
      </c>
      <c r="F14" s="127"/>
      <c r="G14" s="127"/>
    </row>
    <row r="15" ht="22.5" customHeight="1">
      <c r="A15" s="121">
        <v>45915.82679523148</v>
      </c>
      <c r="B15" s="120" t="s">
        <v>352</v>
      </c>
      <c r="C15" s="120" t="s">
        <v>13</v>
      </c>
      <c r="D15" s="120">
        <v>2.0</v>
      </c>
      <c r="E15" s="120">
        <v>1.0</v>
      </c>
      <c r="F15" s="127"/>
      <c r="G15" s="127"/>
    </row>
    <row r="16" ht="22.5" customHeight="1">
      <c r="A16" s="121">
        <v>45916.16231914352</v>
      </c>
      <c r="B16" s="120" t="s">
        <v>354</v>
      </c>
      <c r="C16" s="120" t="s">
        <v>11</v>
      </c>
      <c r="D16" s="120">
        <v>2.0</v>
      </c>
      <c r="E16" s="120">
        <v>2.0</v>
      </c>
      <c r="F16" s="127"/>
      <c r="G16" s="127"/>
    </row>
    <row r="17" ht="22.5" customHeight="1">
      <c r="A17" s="121">
        <v>45916.20920542824</v>
      </c>
      <c r="B17" s="120" t="s">
        <v>355</v>
      </c>
      <c r="C17" s="120" t="s">
        <v>22</v>
      </c>
      <c r="D17" s="120">
        <v>2.0</v>
      </c>
      <c r="E17" s="120">
        <v>1.0</v>
      </c>
      <c r="F17" s="127"/>
      <c r="G17" s="127"/>
    </row>
    <row r="18" ht="22.5" customHeight="1">
      <c r="A18" s="121">
        <v>45916.22220585648</v>
      </c>
      <c r="B18" s="120" t="s">
        <v>356</v>
      </c>
      <c r="C18" s="120" t="s">
        <v>14</v>
      </c>
      <c r="D18" s="120">
        <v>2.0</v>
      </c>
      <c r="E18" s="120">
        <v>1.0</v>
      </c>
      <c r="F18" s="127"/>
      <c r="G18" s="127"/>
    </row>
    <row r="19" ht="22.5" customHeight="1">
      <c r="A19" s="121">
        <v>45916.270707303236</v>
      </c>
      <c r="B19" s="120" t="s">
        <v>359</v>
      </c>
      <c r="C19" s="120" t="s">
        <v>12</v>
      </c>
      <c r="D19" s="120">
        <v>1.0</v>
      </c>
      <c r="E19" s="120">
        <v>2.0</v>
      </c>
      <c r="F19" s="127"/>
      <c r="G19" s="127"/>
    </row>
    <row r="20" ht="22.5" customHeight="1">
      <c r="A20" s="121">
        <v>45916.337777037035</v>
      </c>
      <c r="B20" s="120" t="s">
        <v>358</v>
      </c>
      <c r="C20" s="120" t="s">
        <v>3</v>
      </c>
      <c r="D20" s="120">
        <v>1.0</v>
      </c>
      <c r="E20" s="120">
        <v>2.0</v>
      </c>
      <c r="F20" s="127"/>
      <c r="G20" s="127"/>
    </row>
    <row r="21" ht="22.5" customHeight="1">
      <c r="A21" s="121">
        <v>45916.33940337963</v>
      </c>
      <c r="B21" s="120" t="s">
        <v>361</v>
      </c>
      <c r="C21" s="120" t="s">
        <v>4</v>
      </c>
      <c r="D21" s="120">
        <v>2.0</v>
      </c>
      <c r="E21" s="120">
        <v>2.0</v>
      </c>
      <c r="F21" s="127"/>
      <c r="G21" s="127"/>
    </row>
    <row r="22" ht="22.5" customHeight="1">
      <c r="A22" s="121">
        <v>45916.361664930555</v>
      </c>
      <c r="B22" s="120" t="s">
        <v>363</v>
      </c>
      <c r="C22" s="120" t="s">
        <v>20</v>
      </c>
      <c r="D22" s="120">
        <v>1.0</v>
      </c>
      <c r="E22" s="120">
        <v>2.0</v>
      </c>
      <c r="F22" s="127"/>
      <c r="G22" s="127"/>
    </row>
    <row r="23" ht="22.5" customHeight="1">
      <c r="A23" s="121">
        <v>45916.42066837963</v>
      </c>
      <c r="B23" s="120" t="s">
        <v>364</v>
      </c>
      <c r="C23" s="120" t="s">
        <v>19</v>
      </c>
      <c r="D23" s="120">
        <v>1.0</v>
      </c>
      <c r="E23" s="120">
        <v>1.0</v>
      </c>
      <c r="F23" s="127"/>
      <c r="G23" s="127"/>
    </row>
    <row r="24" ht="22.5" customHeight="1">
      <c r="A24" s="124" t="s">
        <v>179</v>
      </c>
      <c r="B24" s="124" t="s">
        <v>180</v>
      </c>
      <c r="C24" s="124" t="s">
        <v>181</v>
      </c>
      <c r="D24" s="124" t="s">
        <v>410</v>
      </c>
      <c r="E24" s="124" t="s">
        <v>366</v>
      </c>
      <c r="F24" s="124"/>
      <c r="G24" s="124"/>
    </row>
    <row r="25" ht="22.5" customHeight="1">
      <c r="A25" s="121">
        <v>45926.25574443287</v>
      </c>
      <c r="B25" s="120" t="s">
        <v>356</v>
      </c>
      <c r="C25" s="120" t="s">
        <v>14</v>
      </c>
      <c r="D25" s="120">
        <v>2.0</v>
      </c>
      <c r="E25" s="120">
        <v>0.0</v>
      </c>
      <c r="F25" s="127"/>
      <c r="G25" s="127"/>
    </row>
    <row r="26" ht="22.5" customHeight="1">
      <c r="A26" s="121">
        <v>45926.26068407408</v>
      </c>
      <c r="B26" s="120" t="s">
        <v>361</v>
      </c>
      <c r="C26" s="120" t="s">
        <v>4</v>
      </c>
      <c r="D26" s="120">
        <v>2.0</v>
      </c>
      <c r="E26" s="120">
        <v>1.0</v>
      </c>
      <c r="F26" s="127"/>
      <c r="G26" s="127"/>
    </row>
    <row r="27" ht="22.5" customHeight="1">
      <c r="A27" s="121">
        <v>45926.26882603009</v>
      </c>
      <c r="B27" s="120" t="s">
        <v>325</v>
      </c>
      <c r="C27" s="120" t="s">
        <v>16</v>
      </c>
      <c r="D27" s="120">
        <v>3.0</v>
      </c>
      <c r="E27" s="120">
        <v>1.0</v>
      </c>
      <c r="F27" s="127"/>
      <c r="G27" s="127"/>
    </row>
    <row r="28" ht="22.5" customHeight="1">
      <c r="A28" s="121">
        <v>45926.293792199074</v>
      </c>
      <c r="B28" s="120" t="s">
        <v>343</v>
      </c>
      <c r="C28" s="120" t="s">
        <v>5</v>
      </c>
      <c r="D28" s="120">
        <v>3.0</v>
      </c>
      <c r="E28" s="120">
        <v>2.0</v>
      </c>
      <c r="F28" s="127"/>
      <c r="G28" s="127"/>
    </row>
    <row r="29" ht="22.5" customHeight="1">
      <c r="A29" s="121">
        <v>45926.30371008102</v>
      </c>
      <c r="B29" s="120" t="s">
        <v>342</v>
      </c>
      <c r="C29" s="120" t="s">
        <v>7</v>
      </c>
      <c r="D29" s="120">
        <v>2.0</v>
      </c>
      <c r="E29" s="120">
        <v>3.0</v>
      </c>
      <c r="F29" s="127"/>
      <c r="G29" s="127"/>
    </row>
    <row r="30" ht="22.5" customHeight="1">
      <c r="A30" s="121">
        <v>45926.335528020834</v>
      </c>
      <c r="B30" s="120" t="s">
        <v>334</v>
      </c>
      <c r="C30" s="120" t="s">
        <v>17</v>
      </c>
      <c r="D30" s="120">
        <v>3.0</v>
      </c>
      <c r="E30" s="120">
        <v>3.0</v>
      </c>
      <c r="F30" s="127"/>
      <c r="G30" s="127"/>
    </row>
    <row r="31" ht="22.5" customHeight="1">
      <c r="A31" s="121">
        <v>45926.34205924769</v>
      </c>
      <c r="B31" s="120" t="s">
        <v>354</v>
      </c>
      <c r="C31" s="120" t="s">
        <v>11</v>
      </c>
      <c r="D31" s="120">
        <v>3.0</v>
      </c>
      <c r="E31" s="120">
        <v>2.0</v>
      </c>
      <c r="F31" s="127"/>
      <c r="G31" s="127"/>
    </row>
    <row r="32" ht="22.5" customHeight="1">
      <c r="A32" s="121">
        <v>45926.34532153935</v>
      </c>
      <c r="B32" s="120" t="s">
        <v>347</v>
      </c>
      <c r="C32" s="120" t="s">
        <v>10</v>
      </c>
      <c r="D32" s="120">
        <v>3.0</v>
      </c>
      <c r="E32" s="120">
        <v>1.0</v>
      </c>
      <c r="F32" s="127"/>
      <c r="G32" s="127"/>
    </row>
    <row r="33" ht="22.5" customHeight="1">
      <c r="A33" s="121">
        <v>45926.359274664355</v>
      </c>
      <c r="B33" s="120" t="s">
        <v>337</v>
      </c>
      <c r="C33" s="120" t="s">
        <v>15</v>
      </c>
      <c r="D33" s="120">
        <v>3.0</v>
      </c>
      <c r="E33" s="120">
        <v>1.0</v>
      </c>
      <c r="F33" s="127"/>
      <c r="G33" s="127"/>
    </row>
    <row r="34" ht="22.5" customHeight="1">
      <c r="A34" s="121">
        <v>45926.36586520833</v>
      </c>
      <c r="B34" s="120" t="s">
        <v>363</v>
      </c>
      <c r="C34" s="120" t="s">
        <v>20</v>
      </c>
      <c r="D34" s="120">
        <v>1.0</v>
      </c>
      <c r="E34" s="120">
        <v>1.0</v>
      </c>
      <c r="F34" s="127"/>
      <c r="G34" s="127"/>
    </row>
    <row r="35" ht="22.5" customHeight="1">
      <c r="A35" s="121">
        <v>45927.330735868054</v>
      </c>
      <c r="B35" s="120" t="s">
        <v>345</v>
      </c>
      <c r="C35" s="120" t="s">
        <v>6</v>
      </c>
      <c r="D35" s="120">
        <v>3.0</v>
      </c>
      <c r="E35" s="120">
        <v>2.0</v>
      </c>
      <c r="F35" s="127"/>
      <c r="G35" s="127"/>
    </row>
    <row r="36" ht="22.5" customHeight="1">
      <c r="A36" s="121">
        <v>45927.424749768514</v>
      </c>
      <c r="B36" s="120" t="s">
        <v>411</v>
      </c>
      <c r="C36" s="120" t="s">
        <v>21</v>
      </c>
      <c r="D36" s="120">
        <v>1.0</v>
      </c>
      <c r="E36" s="120">
        <v>3.0</v>
      </c>
      <c r="F36" s="127"/>
      <c r="G36" s="127"/>
    </row>
    <row r="37" ht="22.5" customHeight="1">
      <c r="A37" s="121">
        <v>45927.429213043986</v>
      </c>
      <c r="B37" s="120" t="s">
        <v>340</v>
      </c>
      <c r="C37" s="120" t="s">
        <v>9</v>
      </c>
      <c r="D37" s="120">
        <v>2.0</v>
      </c>
      <c r="E37" s="120">
        <v>2.0</v>
      </c>
      <c r="F37" s="127"/>
      <c r="G37" s="127"/>
    </row>
    <row r="38" ht="22.5" customHeight="1">
      <c r="A38" s="121">
        <v>45927.48193443287</v>
      </c>
      <c r="B38" s="120" t="s">
        <v>346</v>
      </c>
      <c r="C38" s="120" t="s">
        <v>8</v>
      </c>
      <c r="D38" s="120">
        <v>2.0</v>
      </c>
      <c r="E38" s="120">
        <v>1.0</v>
      </c>
      <c r="F38" s="127"/>
      <c r="G38" s="127"/>
    </row>
    <row r="39" ht="22.5" customHeight="1">
      <c r="A39" s="121">
        <v>45928.71972689815</v>
      </c>
      <c r="B39" s="120" t="s">
        <v>350</v>
      </c>
      <c r="C39" s="120" t="s">
        <v>2</v>
      </c>
      <c r="D39" s="120">
        <v>3.0</v>
      </c>
      <c r="E39" s="120">
        <v>2.0</v>
      </c>
      <c r="F39" s="127"/>
      <c r="G39" s="127"/>
    </row>
    <row r="40" ht="22.5" customHeight="1">
      <c r="A40" s="121">
        <v>45928.774714652776</v>
      </c>
      <c r="B40" s="120" t="s">
        <v>355</v>
      </c>
      <c r="C40" s="120" t="s">
        <v>22</v>
      </c>
      <c r="D40" s="120">
        <v>2.0</v>
      </c>
      <c r="E40" s="120">
        <v>1.0</v>
      </c>
      <c r="F40" s="127"/>
      <c r="G40" s="127"/>
    </row>
    <row r="41" ht="22.5" customHeight="1">
      <c r="A41" s="121">
        <v>45929.47041126157</v>
      </c>
      <c r="B41" s="120" t="s">
        <v>359</v>
      </c>
      <c r="C41" s="120" t="s">
        <v>12</v>
      </c>
      <c r="D41" s="120">
        <v>2.0</v>
      </c>
      <c r="E41" s="120">
        <v>1.0</v>
      </c>
      <c r="F41" s="127"/>
      <c r="G41" s="127"/>
    </row>
    <row r="42" ht="22.5" customHeight="1">
      <c r="A42" s="121">
        <v>45929.48418038194</v>
      </c>
      <c r="B42" s="120" t="s">
        <v>348</v>
      </c>
      <c r="C42" s="120" t="s">
        <v>18</v>
      </c>
      <c r="D42" s="120">
        <v>2.0</v>
      </c>
      <c r="E42" s="120">
        <v>1.0</v>
      </c>
      <c r="F42" s="127"/>
      <c r="G42" s="127"/>
    </row>
    <row r="43" ht="22.5" customHeight="1">
      <c r="A43" s="121">
        <v>45929.683533773146</v>
      </c>
      <c r="B43" s="120" t="s">
        <v>364</v>
      </c>
      <c r="C43" s="120" t="s">
        <v>19</v>
      </c>
      <c r="D43" s="120">
        <v>2.0</v>
      </c>
      <c r="E43" s="120">
        <v>1.0</v>
      </c>
      <c r="F43" s="127"/>
      <c r="G43" s="127"/>
    </row>
    <row r="44" ht="22.5" customHeight="1">
      <c r="A44" s="121">
        <v>45929.6853153588</v>
      </c>
      <c r="B44" s="120" t="s">
        <v>358</v>
      </c>
      <c r="C44" s="120" t="s">
        <v>3</v>
      </c>
      <c r="D44" s="120">
        <v>3.0</v>
      </c>
      <c r="E44" s="120">
        <v>2.0</v>
      </c>
      <c r="F44" s="127"/>
      <c r="G44" s="127"/>
    </row>
    <row r="45" ht="22.5" customHeight="1">
      <c r="A45" s="121">
        <v>45929.74642043981</v>
      </c>
      <c r="B45" s="120" t="s">
        <v>405</v>
      </c>
      <c r="C45" s="120" t="s">
        <v>13</v>
      </c>
      <c r="D45" s="120">
        <v>2.0</v>
      </c>
      <c r="E45" s="120">
        <v>0.0</v>
      </c>
      <c r="F45" s="127"/>
      <c r="G45" s="127"/>
    </row>
    <row r="46" ht="22.5" customHeight="1">
      <c r="A46" s="124" t="s">
        <v>179</v>
      </c>
      <c r="B46" s="124" t="s">
        <v>180</v>
      </c>
      <c r="C46" s="124" t="s">
        <v>181</v>
      </c>
      <c r="D46" s="124" t="s">
        <v>367</v>
      </c>
      <c r="E46" s="124" t="s">
        <v>412</v>
      </c>
      <c r="F46" s="124" t="s">
        <v>407</v>
      </c>
      <c r="G46" s="124" t="s">
        <v>375</v>
      </c>
    </row>
    <row r="47" ht="22.5" customHeight="1">
      <c r="A47" s="121">
        <v>45958.645453125</v>
      </c>
      <c r="B47" s="120" t="s">
        <v>355</v>
      </c>
      <c r="C47" s="120" t="s">
        <v>22</v>
      </c>
      <c r="D47" s="120">
        <v>2.0</v>
      </c>
      <c r="E47" s="120">
        <v>1.0</v>
      </c>
      <c r="F47" s="120">
        <v>2.0</v>
      </c>
      <c r="G47" s="120">
        <v>1.0</v>
      </c>
    </row>
    <row r="48" ht="22.5" customHeight="1">
      <c r="A48" s="121">
        <v>45958.64663368056</v>
      </c>
      <c r="B48" s="120" t="s">
        <v>337</v>
      </c>
      <c r="C48" s="120" t="s">
        <v>15</v>
      </c>
      <c r="D48" s="120">
        <v>3.0</v>
      </c>
      <c r="E48" s="120">
        <v>1.0</v>
      </c>
      <c r="F48" s="120">
        <v>2.0</v>
      </c>
      <c r="G48" s="120">
        <v>3.0</v>
      </c>
    </row>
    <row r="49" ht="22.5" customHeight="1">
      <c r="A49" s="121">
        <v>45958.66771042824</v>
      </c>
      <c r="B49" s="120" t="s">
        <v>334</v>
      </c>
      <c r="C49" s="120" t="s">
        <v>17</v>
      </c>
      <c r="D49" s="120">
        <v>3.0</v>
      </c>
      <c r="E49" s="120">
        <v>1.0</v>
      </c>
      <c r="F49" s="120">
        <v>2.0</v>
      </c>
      <c r="G49" s="120">
        <v>0.0</v>
      </c>
    </row>
    <row r="50" ht="22.5" customHeight="1">
      <c r="A50" s="121">
        <v>45958.76812807871</v>
      </c>
      <c r="B50" s="120" t="s">
        <v>356</v>
      </c>
      <c r="C50" s="120" t="s">
        <v>14</v>
      </c>
      <c r="D50" s="120">
        <v>1.0</v>
      </c>
      <c r="E50" s="120">
        <v>1.0</v>
      </c>
      <c r="F50" s="120">
        <v>2.0</v>
      </c>
      <c r="G50" s="120">
        <v>1.0</v>
      </c>
    </row>
    <row r="51" ht="22.5" customHeight="1">
      <c r="A51" s="121">
        <v>45959.357354803244</v>
      </c>
      <c r="B51" s="120" t="s">
        <v>358</v>
      </c>
      <c r="C51" s="120" t="s">
        <v>3</v>
      </c>
      <c r="D51" s="120">
        <v>3.0</v>
      </c>
      <c r="E51" s="120">
        <v>1.0</v>
      </c>
      <c r="F51" s="120">
        <v>0.0</v>
      </c>
      <c r="G51" s="120">
        <v>0.0</v>
      </c>
    </row>
    <row r="52" ht="22.5" customHeight="1">
      <c r="A52" s="121">
        <v>45959.36170450231</v>
      </c>
      <c r="B52" s="120" t="s">
        <v>340</v>
      </c>
      <c r="C52" s="120" t="s">
        <v>9</v>
      </c>
      <c r="D52" s="120">
        <v>2.0</v>
      </c>
      <c r="E52" s="120">
        <v>1.0</v>
      </c>
      <c r="F52" s="120">
        <v>1.0</v>
      </c>
      <c r="G52" s="120">
        <v>2.0</v>
      </c>
    </row>
    <row r="53" ht="22.5" customHeight="1">
      <c r="A53" s="121">
        <v>45959.36553871528</v>
      </c>
      <c r="B53" s="120" t="s">
        <v>361</v>
      </c>
      <c r="C53" s="120" t="s">
        <v>4</v>
      </c>
      <c r="D53" s="120">
        <v>2.0</v>
      </c>
      <c r="E53" s="120">
        <v>0.0</v>
      </c>
      <c r="F53" s="120">
        <v>0.0</v>
      </c>
      <c r="G53" s="120">
        <v>1.0</v>
      </c>
    </row>
    <row r="54" ht="22.5" customHeight="1">
      <c r="A54" s="121">
        <v>45959.37601310185</v>
      </c>
      <c r="B54" s="120" t="s">
        <v>346</v>
      </c>
      <c r="C54" s="120" t="s">
        <v>8</v>
      </c>
      <c r="D54" s="120">
        <v>2.0</v>
      </c>
      <c r="E54" s="120">
        <v>2.0</v>
      </c>
      <c r="F54" s="120">
        <v>2.0</v>
      </c>
      <c r="G54" s="120">
        <v>1.0</v>
      </c>
    </row>
    <row r="55" ht="22.5" customHeight="1">
      <c r="A55" s="121">
        <v>45959.424920844904</v>
      </c>
      <c r="B55" s="120" t="s">
        <v>364</v>
      </c>
      <c r="C55" s="120" t="s">
        <v>19</v>
      </c>
      <c r="D55" s="120">
        <v>1.0</v>
      </c>
      <c r="E55" s="120">
        <v>3.0</v>
      </c>
      <c r="F55" s="120">
        <v>1.0</v>
      </c>
      <c r="G55" s="120">
        <v>1.0</v>
      </c>
    </row>
    <row r="56" ht="22.5" customHeight="1">
      <c r="A56" s="121">
        <v>45959.44451635417</v>
      </c>
      <c r="B56" s="120" t="s">
        <v>354</v>
      </c>
      <c r="C56" s="120" t="s">
        <v>11</v>
      </c>
      <c r="D56" s="120">
        <v>0.0</v>
      </c>
      <c r="E56" s="120">
        <v>0.0</v>
      </c>
      <c r="F56" s="120">
        <v>1.0</v>
      </c>
      <c r="G56" s="120">
        <v>0.0</v>
      </c>
    </row>
    <row r="57" ht="22.5" customHeight="1">
      <c r="A57" s="121">
        <v>45959.80214002315</v>
      </c>
      <c r="B57" s="120" t="s">
        <v>345</v>
      </c>
      <c r="C57" s="120" t="s">
        <v>6</v>
      </c>
      <c r="D57" s="120">
        <v>3.0</v>
      </c>
      <c r="E57" s="120">
        <v>1.0</v>
      </c>
      <c r="F57" s="120">
        <v>1.0</v>
      </c>
      <c r="G57" s="120">
        <v>2.0</v>
      </c>
    </row>
    <row r="58" ht="22.5" customHeight="1">
      <c r="A58" s="121">
        <v>45960.561993020834</v>
      </c>
      <c r="B58" s="120" t="s">
        <v>347</v>
      </c>
      <c r="C58" s="120" t="s">
        <v>10</v>
      </c>
      <c r="D58" s="120">
        <v>3.0</v>
      </c>
      <c r="E58" s="120">
        <v>1.0</v>
      </c>
      <c r="F58" s="120">
        <v>2.0</v>
      </c>
      <c r="G58" s="120">
        <v>2.0</v>
      </c>
    </row>
    <row r="59" ht="22.5" customHeight="1">
      <c r="A59" s="121">
        <v>45960.58892322917</v>
      </c>
      <c r="B59" s="120" t="s">
        <v>331</v>
      </c>
      <c r="C59" s="120" t="s">
        <v>21</v>
      </c>
      <c r="D59" s="120">
        <v>2.0</v>
      </c>
      <c r="E59" s="120">
        <v>1.0</v>
      </c>
      <c r="F59" s="120">
        <v>3.0</v>
      </c>
      <c r="G59" s="120">
        <v>1.0</v>
      </c>
    </row>
    <row r="60" ht="22.5" customHeight="1">
      <c r="A60" s="121">
        <v>45961.32439841435</v>
      </c>
      <c r="B60" s="120" t="s">
        <v>342</v>
      </c>
      <c r="C60" s="120" t="s">
        <v>7</v>
      </c>
      <c r="D60" s="120">
        <v>2.0</v>
      </c>
      <c r="E60" s="120">
        <v>1.0</v>
      </c>
      <c r="F60" s="120">
        <v>2.0</v>
      </c>
      <c r="G60" s="120">
        <v>3.0</v>
      </c>
    </row>
    <row r="61" ht="22.5" customHeight="1">
      <c r="A61" s="121">
        <v>45961.3375471412</v>
      </c>
      <c r="B61" s="120" t="s">
        <v>363</v>
      </c>
      <c r="C61" s="120" t="s">
        <v>20</v>
      </c>
      <c r="D61" s="120">
        <v>1.0</v>
      </c>
      <c r="E61" s="120">
        <v>0.0</v>
      </c>
      <c r="F61" s="120">
        <v>1.0</v>
      </c>
      <c r="G61" s="120">
        <v>1.0</v>
      </c>
    </row>
    <row r="62" ht="22.5" customHeight="1">
      <c r="A62" s="121">
        <v>45961.381015300925</v>
      </c>
      <c r="B62" s="120" t="s">
        <v>359</v>
      </c>
      <c r="C62" s="120" t="s">
        <v>12</v>
      </c>
      <c r="D62" s="120">
        <v>3.0</v>
      </c>
      <c r="E62" s="120">
        <v>1.0</v>
      </c>
      <c r="F62" s="120">
        <v>1.0</v>
      </c>
      <c r="G62" s="120">
        <v>1.0</v>
      </c>
    </row>
    <row r="63" ht="22.5" customHeight="1">
      <c r="A63" s="121">
        <v>45961.398270729165</v>
      </c>
      <c r="B63" s="120" t="s">
        <v>325</v>
      </c>
      <c r="C63" s="120" t="s">
        <v>16</v>
      </c>
      <c r="D63" s="120">
        <v>1.0</v>
      </c>
      <c r="E63" s="120">
        <v>2.0</v>
      </c>
      <c r="F63" s="120">
        <v>3.0</v>
      </c>
      <c r="G63" s="120">
        <v>2.0</v>
      </c>
    </row>
    <row r="64" ht="22.5" customHeight="1">
      <c r="A64" s="121">
        <v>45964.13054190972</v>
      </c>
      <c r="B64" s="120" t="s">
        <v>350</v>
      </c>
      <c r="C64" s="120" t="s">
        <v>2</v>
      </c>
      <c r="D64" s="120">
        <v>3.0</v>
      </c>
      <c r="E64" s="120">
        <v>1.0</v>
      </c>
      <c r="F64" s="120">
        <v>2.0</v>
      </c>
      <c r="G64" s="120">
        <v>1.0</v>
      </c>
    </row>
    <row r="65" ht="22.5" customHeight="1">
      <c r="A65" s="121">
        <v>45964.50927086806</v>
      </c>
      <c r="B65" s="120" t="s">
        <v>352</v>
      </c>
      <c r="C65" s="120" t="s">
        <v>13</v>
      </c>
      <c r="D65" s="120">
        <v>2.0</v>
      </c>
      <c r="E65" s="120">
        <v>0.0</v>
      </c>
      <c r="F65" s="120">
        <v>1.0</v>
      </c>
      <c r="G65" s="120">
        <v>1.0</v>
      </c>
    </row>
    <row r="66" ht="22.5" customHeight="1">
      <c r="A66" s="121">
        <v>45964.75059277778</v>
      </c>
      <c r="B66" s="120" t="s">
        <v>343</v>
      </c>
      <c r="C66" s="120" t="s">
        <v>5</v>
      </c>
      <c r="D66" s="120">
        <v>2.0</v>
      </c>
      <c r="E66" s="120">
        <v>1.0</v>
      </c>
      <c r="F66" s="120">
        <v>2.0</v>
      </c>
      <c r="G66" s="120">
        <v>0.0</v>
      </c>
    </row>
    <row r="67" ht="22.5" customHeight="1">
      <c r="A67" s="121">
        <v>45965.23222612268</v>
      </c>
      <c r="B67" s="120" t="s">
        <v>348</v>
      </c>
      <c r="C67" s="120" t="s">
        <v>18</v>
      </c>
      <c r="D67" s="120">
        <v>2.0</v>
      </c>
      <c r="E67" s="120">
        <v>1.0</v>
      </c>
      <c r="F67" s="120">
        <v>2.0</v>
      </c>
      <c r="G67" s="120">
        <v>0.0</v>
      </c>
    </row>
    <row r="68" ht="22.5" customHeight="1">
      <c r="A68" s="124" t="s">
        <v>179</v>
      </c>
      <c r="B68" s="124" t="s">
        <v>180</v>
      </c>
      <c r="C68" s="124" t="s">
        <v>181</v>
      </c>
      <c r="D68" s="125" t="s">
        <v>413</v>
      </c>
      <c r="E68" s="125" t="s">
        <v>414</v>
      </c>
      <c r="F68" s="124"/>
      <c r="G68" s="124"/>
    </row>
    <row r="69" ht="22.5" customHeight="1">
      <c r="A69" s="121">
        <v>45984.469181504624</v>
      </c>
      <c r="B69" s="120" t="s">
        <v>345</v>
      </c>
      <c r="C69" s="120" t="s">
        <v>6</v>
      </c>
      <c r="D69" s="120">
        <v>2.0</v>
      </c>
      <c r="E69" s="120">
        <v>1.0</v>
      </c>
    </row>
    <row r="70" ht="22.5" customHeight="1">
      <c r="A70" s="121">
        <v>45985.22012787037</v>
      </c>
      <c r="B70" s="120" t="s">
        <v>337</v>
      </c>
      <c r="C70" s="120" t="s">
        <v>15</v>
      </c>
      <c r="D70" s="120">
        <v>2.0</v>
      </c>
      <c r="E70" s="120">
        <v>1.0</v>
      </c>
    </row>
    <row r="71" ht="22.5" customHeight="1">
      <c r="A71" s="121">
        <v>45985.220323217596</v>
      </c>
      <c r="B71" s="120" t="s">
        <v>355</v>
      </c>
      <c r="C71" s="120" t="s">
        <v>22</v>
      </c>
      <c r="D71" s="120">
        <v>1.0</v>
      </c>
      <c r="E71" s="120">
        <v>2.0</v>
      </c>
    </row>
    <row r="72" ht="22.5" customHeight="1">
      <c r="A72" s="121">
        <v>45985.22427201389</v>
      </c>
      <c r="B72" s="120" t="s">
        <v>331</v>
      </c>
      <c r="C72" s="120" t="s">
        <v>21</v>
      </c>
      <c r="D72" s="120">
        <v>2.0</v>
      </c>
      <c r="E72" s="120">
        <v>2.0</v>
      </c>
    </row>
    <row r="73" ht="22.5" customHeight="1">
      <c r="A73" s="121">
        <v>45985.22686115741</v>
      </c>
      <c r="B73" s="120" t="s">
        <v>350</v>
      </c>
      <c r="C73" s="120" t="s">
        <v>2</v>
      </c>
      <c r="D73" s="120">
        <v>3.0</v>
      </c>
      <c r="E73" s="120">
        <v>1.0</v>
      </c>
    </row>
    <row r="74" ht="22.5" customHeight="1">
      <c r="A74" s="121">
        <v>45985.22872626157</v>
      </c>
      <c r="B74" s="120" t="s">
        <v>361</v>
      </c>
      <c r="C74" s="120" t="s">
        <v>4</v>
      </c>
      <c r="D74" s="120">
        <v>1.0</v>
      </c>
      <c r="E74" s="120">
        <v>0.0</v>
      </c>
    </row>
    <row r="75" ht="22.5" customHeight="1">
      <c r="A75" s="121">
        <v>45985.23030350695</v>
      </c>
      <c r="B75" s="120" t="s">
        <v>334</v>
      </c>
      <c r="C75" s="120" t="s">
        <v>17</v>
      </c>
      <c r="D75" s="120">
        <v>2.0</v>
      </c>
      <c r="E75" s="120">
        <v>1.0</v>
      </c>
    </row>
    <row r="76" ht="22.5" customHeight="1">
      <c r="A76" s="121">
        <v>45985.23748931713</v>
      </c>
      <c r="B76" s="120" t="s">
        <v>359</v>
      </c>
      <c r="C76" s="120" t="s">
        <v>12</v>
      </c>
      <c r="D76" s="120">
        <v>2.0</v>
      </c>
      <c r="E76" s="120">
        <v>2.0</v>
      </c>
    </row>
    <row r="77" ht="22.5" customHeight="1">
      <c r="A77" s="121">
        <v>45985.25767922454</v>
      </c>
      <c r="B77" s="120" t="s">
        <v>343</v>
      </c>
      <c r="C77" s="120" t="s">
        <v>5</v>
      </c>
      <c r="D77" s="120">
        <v>2.0</v>
      </c>
      <c r="E77" s="120">
        <v>1.0</v>
      </c>
    </row>
    <row r="78" ht="22.5" customHeight="1">
      <c r="A78" s="121">
        <v>45985.25770583333</v>
      </c>
      <c r="B78" s="120" t="s">
        <v>346</v>
      </c>
      <c r="C78" s="120" t="s">
        <v>8</v>
      </c>
      <c r="D78" s="120">
        <v>2.0</v>
      </c>
      <c r="E78" s="120">
        <v>1.0</v>
      </c>
    </row>
    <row r="79" ht="22.5" customHeight="1">
      <c r="A79" s="121">
        <v>45985.37890299769</v>
      </c>
      <c r="B79" s="120" t="s">
        <v>352</v>
      </c>
      <c r="C79" s="120" t="s">
        <v>13</v>
      </c>
      <c r="D79" s="120">
        <v>2.0</v>
      </c>
      <c r="E79" s="120">
        <v>0.0</v>
      </c>
    </row>
    <row r="80" ht="22.5" customHeight="1">
      <c r="A80" s="121">
        <v>45985.426304849534</v>
      </c>
      <c r="B80" s="120" t="s">
        <v>347</v>
      </c>
      <c r="C80" s="120" t="s">
        <v>10</v>
      </c>
      <c r="D80" s="120">
        <v>2.0</v>
      </c>
      <c r="E80" s="120">
        <v>1.0</v>
      </c>
    </row>
    <row r="81" ht="22.5" customHeight="1">
      <c r="A81" s="121">
        <v>45985.426601168976</v>
      </c>
      <c r="B81" s="120" t="s">
        <v>340</v>
      </c>
      <c r="C81" s="120" t="s">
        <v>9</v>
      </c>
      <c r="D81" s="120">
        <v>2.0</v>
      </c>
      <c r="E81" s="120">
        <v>1.0</v>
      </c>
    </row>
    <row r="82" ht="22.5" customHeight="1">
      <c r="A82" s="121">
        <v>45985.428920624996</v>
      </c>
      <c r="B82" s="120" t="s">
        <v>354</v>
      </c>
      <c r="C82" s="120" t="s">
        <v>11</v>
      </c>
      <c r="D82" s="120">
        <v>2.0</v>
      </c>
      <c r="E82" s="120">
        <v>2.0</v>
      </c>
    </row>
    <row r="83" ht="22.5" customHeight="1">
      <c r="A83" s="121">
        <v>45985.431451365745</v>
      </c>
      <c r="B83" s="120" t="s">
        <v>364</v>
      </c>
      <c r="C83" s="120" t="s">
        <v>19</v>
      </c>
      <c r="D83" s="120">
        <v>3.0</v>
      </c>
      <c r="E83" s="120">
        <v>1.0</v>
      </c>
    </row>
    <row r="84" ht="22.5" customHeight="1">
      <c r="A84" s="121">
        <v>45985.43329162037</v>
      </c>
      <c r="B84" s="120" t="s">
        <v>363</v>
      </c>
      <c r="C84" s="120" t="s">
        <v>20</v>
      </c>
      <c r="D84" s="120">
        <v>3.0</v>
      </c>
      <c r="E84" s="120">
        <v>2.0</v>
      </c>
    </row>
    <row r="85" ht="22.5" customHeight="1">
      <c r="A85" s="121">
        <v>45985.43721938657</v>
      </c>
      <c r="B85" s="120" t="s">
        <v>356</v>
      </c>
      <c r="C85" s="120" t="s">
        <v>14</v>
      </c>
      <c r="D85" s="120">
        <v>1.0</v>
      </c>
      <c r="E85" s="120">
        <v>0.0</v>
      </c>
    </row>
    <row r="86" ht="22.5" customHeight="1">
      <c r="A86" s="121">
        <v>45985.53858630787</v>
      </c>
      <c r="B86" s="120" t="s">
        <v>325</v>
      </c>
      <c r="C86" s="120" t="s">
        <v>16</v>
      </c>
      <c r="D86" s="120">
        <v>2.0</v>
      </c>
      <c r="E86" s="120">
        <v>2.0</v>
      </c>
    </row>
    <row r="87" ht="22.5" customHeight="1">
      <c r="A87" s="121">
        <v>45986.15930104167</v>
      </c>
      <c r="B87" s="120" t="s">
        <v>342</v>
      </c>
      <c r="C87" s="120" t="s">
        <v>7</v>
      </c>
      <c r="D87" s="120">
        <v>4.0</v>
      </c>
      <c r="E87" s="120">
        <v>2.0</v>
      </c>
    </row>
    <row r="88" ht="22.5" customHeight="1">
      <c r="A88" s="121">
        <v>45986.240966805555</v>
      </c>
      <c r="B88" s="120" t="s">
        <v>348</v>
      </c>
      <c r="C88" s="120" t="s">
        <v>18</v>
      </c>
      <c r="D88" s="120">
        <v>3.0</v>
      </c>
      <c r="E88" s="120">
        <v>2.0</v>
      </c>
    </row>
    <row r="89" ht="22.5" customHeight="1">
      <c r="A89" s="121">
        <v>45986.34805840278</v>
      </c>
      <c r="B89" s="120" t="s">
        <v>358</v>
      </c>
      <c r="C89" s="120" t="s">
        <v>3</v>
      </c>
      <c r="D89" s="120">
        <v>2.0</v>
      </c>
      <c r="E89" s="120">
        <v>1.0</v>
      </c>
    </row>
    <row r="90" ht="22.5" customHeight="1">
      <c r="A90" s="124" t="s">
        <v>179</v>
      </c>
      <c r="B90" s="124" t="s">
        <v>180</v>
      </c>
      <c r="C90" s="124" t="s">
        <v>181</v>
      </c>
      <c r="D90" s="124" t="s">
        <v>376</v>
      </c>
      <c r="E90" s="124" t="s">
        <v>406</v>
      </c>
      <c r="F90" s="124"/>
      <c r="G90" s="124"/>
    </row>
    <row r="91" ht="22.5" customHeight="1">
      <c r="A91" s="121">
        <v>45999.28472333333</v>
      </c>
      <c r="B91" s="120" t="s">
        <v>355</v>
      </c>
      <c r="C91" s="120" t="s">
        <v>22</v>
      </c>
      <c r="D91" s="120">
        <v>2.0</v>
      </c>
      <c r="E91" s="120">
        <v>1.0</v>
      </c>
    </row>
    <row r="92" ht="22.5" customHeight="1">
      <c r="A92" s="121">
        <v>45999.2862224537</v>
      </c>
      <c r="B92" s="120" t="s">
        <v>337</v>
      </c>
      <c r="C92" s="120" t="s">
        <v>15</v>
      </c>
      <c r="D92" s="120">
        <v>3.0</v>
      </c>
      <c r="E92" s="120">
        <v>1.0</v>
      </c>
    </row>
    <row r="93" ht="22.5" customHeight="1">
      <c r="A93" s="121">
        <v>45999.29119628472</v>
      </c>
      <c r="B93" s="120" t="s">
        <v>345</v>
      </c>
      <c r="C93" s="120" t="s">
        <v>6</v>
      </c>
      <c r="D93" s="120">
        <v>2.0</v>
      </c>
      <c r="E93" s="120">
        <v>2.0</v>
      </c>
    </row>
    <row r="94" ht="22.5" customHeight="1">
      <c r="A94" s="121">
        <v>45999.44873304398</v>
      </c>
      <c r="B94" s="120" t="s">
        <v>342</v>
      </c>
      <c r="C94" s="120" t="s">
        <v>7</v>
      </c>
      <c r="D94" s="120">
        <v>3.0</v>
      </c>
      <c r="E94" s="120">
        <v>2.0</v>
      </c>
    </row>
    <row r="95" ht="22.5" customHeight="1">
      <c r="A95" s="121">
        <v>45999.49709892361</v>
      </c>
      <c r="B95" s="120" t="s">
        <v>346</v>
      </c>
      <c r="C95" s="120" t="s">
        <v>8</v>
      </c>
      <c r="D95" s="120">
        <v>3.0</v>
      </c>
      <c r="E95" s="120">
        <v>1.0</v>
      </c>
    </row>
    <row r="96" ht="22.5" customHeight="1">
      <c r="A96" s="121">
        <v>46000.17345833333</v>
      </c>
      <c r="B96" s="120" t="s">
        <v>405</v>
      </c>
      <c r="C96" s="120" t="s">
        <v>13</v>
      </c>
      <c r="D96" s="120">
        <v>1.0</v>
      </c>
      <c r="E96" s="120">
        <v>0.0</v>
      </c>
    </row>
    <row r="97" ht="22.5" customHeight="1">
      <c r="A97" s="121">
        <v>46000.21237681713</v>
      </c>
      <c r="B97" s="120" t="s">
        <v>334</v>
      </c>
      <c r="C97" s="120" t="s">
        <v>17</v>
      </c>
      <c r="D97" s="120">
        <v>2.0</v>
      </c>
      <c r="E97" s="120">
        <v>1.0</v>
      </c>
    </row>
    <row r="98" ht="22.5" customHeight="1">
      <c r="A98" s="121">
        <v>46000.319456261575</v>
      </c>
      <c r="B98" s="120" t="s">
        <v>343</v>
      </c>
      <c r="C98" s="120" t="s">
        <v>5</v>
      </c>
      <c r="D98" s="120">
        <v>3.0</v>
      </c>
      <c r="E98" s="120">
        <v>2.0</v>
      </c>
    </row>
    <row r="99" ht="22.5" customHeight="1">
      <c r="A99" s="121">
        <v>46000.422045659725</v>
      </c>
      <c r="B99" s="120" t="s">
        <v>364</v>
      </c>
      <c r="C99" s="120" t="s">
        <v>19</v>
      </c>
      <c r="D99" s="120">
        <v>0.0</v>
      </c>
      <c r="E99" s="120">
        <v>2.0</v>
      </c>
    </row>
    <row r="100" ht="22.5" customHeight="1">
      <c r="A100" s="121">
        <v>46000.42267349537</v>
      </c>
      <c r="B100" s="120" t="s">
        <v>340</v>
      </c>
      <c r="C100" s="120" t="s">
        <v>9</v>
      </c>
      <c r="D100" s="120">
        <v>2.0</v>
      </c>
      <c r="E100" s="120">
        <v>1.0</v>
      </c>
    </row>
    <row r="101" ht="22.5" customHeight="1">
      <c r="A101" s="121">
        <v>46000.423883090276</v>
      </c>
      <c r="B101" s="120" t="s">
        <v>356</v>
      </c>
      <c r="C101" s="120" t="s">
        <v>14</v>
      </c>
      <c r="D101" s="120">
        <v>1.0</v>
      </c>
      <c r="E101" s="120">
        <v>2.0</v>
      </c>
    </row>
    <row r="102" ht="22.5" customHeight="1">
      <c r="A102" s="121">
        <v>46000.42824158564</v>
      </c>
      <c r="B102" s="120" t="s">
        <v>358</v>
      </c>
      <c r="C102" s="120" t="s">
        <v>3</v>
      </c>
      <c r="D102" s="120">
        <v>3.0</v>
      </c>
      <c r="E102" s="120">
        <v>1.0</v>
      </c>
    </row>
    <row r="103" ht="22.5" customHeight="1">
      <c r="A103" s="121">
        <v>46000.44338858796</v>
      </c>
      <c r="B103" s="120" t="s">
        <v>354</v>
      </c>
      <c r="C103" s="120" t="s">
        <v>11</v>
      </c>
      <c r="D103" s="120">
        <v>0.0</v>
      </c>
      <c r="E103" s="120">
        <v>2.0</v>
      </c>
    </row>
    <row r="104" ht="22.5" customHeight="1">
      <c r="A104" s="121">
        <v>46000.44536416666</v>
      </c>
      <c r="B104" s="120" t="s">
        <v>347</v>
      </c>
      <c r="C104" s="120" t="s">
        <v>10</v>
      </c>
      <c r="D104" s="120">
        <v>1.0</v>
      </c>
      <c r="E104" s="120">
        <v>3.0</v>
      </c>
    </row>
    <row r="105" ht="22.5" customHeight="1">
      <c r="A105" s="121">
        <v>46000.450806678244</v>
      </c>
      <c r="B105" s="120" t="s">
        <v>331</v>
      </c>
      <c r="C105" s="120" t="s">
        <v>21</v>
      </c>
      <c r="D105" s="120">
        <v>2.0</v>
      </c>
      <c r="E105" s="120">
        <v>0.0</v>
      </c>
    </row>
    <row r="106" ht="22.5" customHeight="1">
      <c r="A106" s="121">
        <v>46000.45343025463</v>
      </c>
      <c r="B106" s="120" t="s">
        <v>350</v>
      </c>
      <c r="C106" s="120" t="s">
        <v>2</v>
      </c>
      <c r="D106" s="120">
        <v>2.0</v>
      </c>
      <c r="E106" s="120">
        <v>2.0</v>
      </c>
    </row>
    <row r="107" ht="22.5" customHeight="1">
      <c r="A107" s="121">
        <v>46000.50335576389</v>
      </c>
      <c r="B107" s="120" t="s">
        <v>325</v>
      </c>
      <c r="C107" s="120" t="s">
        <v>16</v>
      </c>
      <c r="D107" s="120">
        <v>1.0</v>
      </c>
      <c r="E107" s="120">
        <v>3.0</v>
      </c>
    </row>
    <row r="108" ht="22.5" customHeight="1">
      <c r="A108" s="121">
        <v>46000.525509548606</v>
      </c>
      <c r="B108" s="120" t="s">
        <v>363</v>
      </c>
      <c r="C108" s="120" t="s">
        <v>20</v>
      </c>
      <c r="D108" s="120">
        <v>2.0</v>
      </c>
      <c r="E108" s="120">
        <v>2.0</v>
      </c>
    </row>
    <row r="109" ht="22.5" customHeight="1">
      <c r="A109" s="121">
        <v>46000.63436541667</v>
      </c>
      <c r="B109" s="120" t="s">
        <v>361</v>
      </c>
      <c r="C109" s="120" t="s">
        <v>4</v>
      </c>
      <c r="D109" s="120">
        <v>2.0</v>
      </c>
      <c r="E109" s="120">
        <v>1.0</v>
      </c>
    </row>
    <row r="110" ht="22.5" customHeight="1">
      <c r="A110" s="121">
        <v>46001.33253658564</v>
      </c>
      <c r="B110" s="120" t="s">
        <v>359</v>
      </c>
      <c r="C110" s="120" t="s">
        <v>12</v>
      </c>
      <c r="D110" s="120">
        <v>1.0</v>
      </c>
      <c r="E110" s="120">
        <v>2.0</v>
      </c>
    </row>
    <row r="111" ht="22.5" customHeight="1">
      <c r="A111" s="121">
        <v>46001.40432412037</v>
      </c>
      <c r="B111" s="120" t="s">
        <v>348</v>
      </c>
      <c r="C111" s="120" t="s">
        <v>18</v>
      </c>
      <c r="D111" s="120">
        <v>1.0</v>
      </c>
      <c r="E111" s="120">
        <v>2.0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4" width="24.75"/>
    <col customWidth="1" min="5" max="6" width="18.88"/>
    <col customWidth="1" min="7" max="7" width="25.38"/>
    <col customWidth="1" min="8" max="8" width="18.88"/>
    <col customWidth="1" min="9" max="9" width="19.0"/>
    <col customWidth="1" min="10" max="11" width="18.88"/>
    <col customWidth="1" min="12" max="12" width="19.63"/>
    <col customWidth="1" min="13" max="13" width="18.88"/>
    <col customWidth="1" min="14" max="14" width="19.0"/>
    <col customWidth="1" min="15" max="15" width="22.75"/>
    <col customWidth="1" min="16" max="16" width="22.13"/>
    <col customWidth="1" min="17" max="17" width="19.63"/>
    <col customWidth="1" min="18" max="19" width="18.88"/>
    <col customWidth="1" min="20" max="20" width="24.88"/>
    <col customWidth="1" min="21" max="21" width="24.25"/>
    <col customWidth="1" min="22" max="28" width="18.88"/>
    <col customWidth="1" min="29" max="29" width="23.63"/>
    <col customWidth="1" min="30" max="31" width="18.88"/>
    <col customWidth="1" min="32" max="32" width="24.25"/>
    <col customWidth="1" min="33" max="36" width="18.88"/>
    <col customWidth="1" min="37" max="37" width="19.38"/>
    <col customWidth="1" min="38" max="38" width="18.88"/>
    <col customWidth="1" min="39" max="39" width="23.13"/>
    <col customWidth="1" min="40" max="41" width="18.88"/>
    <col customWidth="1" min="42" max="42" width="23.75"/>
    <col customWidth="1" min="43" max="49" width="18.88"/>
  </cols>
  <sheetData>
    <row r="1" ht="22.5" customHeight="1">
      <c r="A1" s="122" t="s">
        <v>179</v>
      </c>
      <c r="B1" s="122" t="s">
        <v>180</v>
      </c>
      <c r="C1" s="122" t="s">
        <v>181</v>
      </c>
      <c r="D1" s="122" t="s">
        <v>367</v>
      </c>
      <c r="E1" s="122" t="s">
        <v>409</v>
      </c>
      <c r="F1" s="122" t="s">
        <v>413</v>
      </c>
      <c r="G1" s="122" t="s">
        <v>366</v>
      </c>
      <c r="H1" s="122" t="s">
        <v>107</v>
      </c>
      <c r="I1" s="122" t="s">
        <v>369</v>
      </c>
      <c r="J1" s="122" t="s">
        <v>415</v>
      </c>
      <c r="K1" s="122" t="s">
        <v>407</v>
      </c>
      <c r="L1" s="122" t="s">
        <v>372</v>
      </c>
      <c r="M1" s="122" t="s">
        <v>373</v>
      </c>
      <c r="N1" s="122" t="s">
        <v>376</v>
      </c>
      <c r="O1" s="122" t="s">
        <v>406</v>
      </c>
      <c r="P1" s="122" t="s">
        <v>416</v>
      </c>
      <c r="Q1" s="122" t="s">
        <v>375</v>
      </c>
      <c r="R1" s="122" t="s">
        <v>378</v>
      </c>
      <c r="S1" s="122" t="s">
        <v>381</v>
      </c>
      <c r="T1" s="122" t="s">
        <v>412</v>
      </c>
      <c r="U1" s="122" t="s">
        <v>408</v>
      </c>
      <c r="V1" s="122" t="s">
        <v>380</v>
      </c>
      <c r="W1" s="122" t="s">
        <v>383</v>
      </c>
      <c r="X1" s="122" t="s">
        <v>386</v>
      </c>
      <c r="Y1" s="122" t="s">
        <v>414</v>
      </c>
      <c r="Z1" s="122" t="s">
        <v>410</v>
      </c>
      <c r="AA1" s="122" t="s">
        <v>385</v>
      </c>
      <c r="AB1" s="122" t="s">
        <v>388</v>
      </c>
      <c r="AC1" s="122" t="s">
        <v>391</v>
      </c>
      <c r="AD1" s="122" t="s">
        <v>417</v>
      </c>
      <c r="AE1" s="122" t="s">
        <v>418</v>
      </c>
      <c r="AF1" s="122" t="s">
        <v>390</v>
      </c>
      <c r="AG1" s="122" t="s">
        <v>393</v>
      </c>
      <c r="AH1" s="122" t="s">
        <v>394</v>
      </c>
      <c r="AI1" s="122" t="s">
        <v>419</v>
      </c>
      <c r="AJ1" s="122" t="s">
        <v>420</v>
      </c>
      <c r="AK1" s="122" t="s">
        <v>397</v>
      </c>
      <c r="AL1" s="122" t="s">
        <v>398</v>
      </c>
      <c r="AM1" s="122" t="s">
        <v>401</v>
      </c>
      <c r="AN1" s="122" t="s">
        <v>421</v>
      </c>
      <c r="AO1" s="122" t="s">
        <v>422</v>
      </c>
      <c r="AP1" s="122" t="s">
        <v>400</v>
      </c>
      <c r="AQ1" s="122" t="s">
        <v>403</v>
      </c>
    </row>
    <row r="2" ht="22.5" customHeight="1">
      <c r="A2" s="118">
        <v>46083.33067914352</v>
      </c>
      <c r="B2" s="119" t="s">
        <v>346</v>
      </c>
      <c r="C2" s="119" t="s">
        <v>8</v>
      </c>
      <c r="D2" s="119">
        <v>2.0</v>
      </c>
      <c r="E2" s="119">
        <v>2.0</v>
      </c>
      <c r="F2" s="119">
        <v>2.0</v>
      </c>
      <c r="G2" s="119">
        <v>1.0</v>
      </c>
      <c r="H2" s="119" t="s">
        <v>55</v>
      </c>
      <c r="I2" s="119">
        <v>2.0</v>
      </c>
      <c r="J2" s="119">
        <v>1.0</v>
      </c>
      <c r="K2" s="119">
        <v>1.0</v>
      </c>
      <c r="L2" s="119">
        <v>1.0</v>
      </c>
      <c r="M2" s="119" t="s">
        <v>58</v>
      </c>
      <c r="N2" s="119">
        <v>2.0</v>
      </c>
      <c r="O2" s="119">
        <v>1.0</v>
      </c>
      <c r="P2" s="119">
        <v>2.0</v>
      </c>
      <c r="Q2" s="119">
        <v>1.0</v>
      </c>
      <c r="R2" s="119" t="s">
        <v>49</v>
      </c>
      <c r="S2" s="119">
        <v>1.0</v>
      </c>
      <c r="T2" s="119">
        <v>2.0</v>
      </c>
      <c r="U2" s="119">
        <v>3.0</v>
      </c>
      <c r="V2" s="119">
        <v>1.0</v>
      </c>
      <c r="W2" s="119" t="s">
        <v>45</v>
      </c>
      <c r="X2" s="119">
        <v>2.0</v>
      </c>
      <c r="Y2" s="119">
        <v>1.0</v>
      </c>
      <c r="Z2" s="119">
        <v>2.0</v>
      </c>
      <c r="AA2" s="119">
        <v>1.0</v>
      </c>
      <c r="AB2" s="119" t="s">
        <v>59</v>
      </c>
      <c r="AC2" s="119">
        <v>1.0</v>
      </c>
      <c r="AD2" s="119">
        <v>2.0</v>
      </c>
      <c r="AE2" s="119">
        <v>1.0</v>
      </c>
      <c r="AF2" s="119">
        <v>2.0</v>
      </c>
      <c r="AG2" s="119" t="s">
        <v>56</v>
      </c>
      <c r="AH2" s="119">
        <v>2.0</v>
      </c>
      <c r="AI2" s="119">
        <v>1.0</v>
      </c>
      <c r="AJ2" s="119">
        <v>3.0</v>
      </c>
      <c r="AK2" s="119">
        <v>1.0</v>
      </c>
      <c r="AL2" s="119" t="s">
        <v>51</v>
      </c>
      <c r="AM2" s="119">
        <v>1.0</v>
      </c>
      <c r="AN2" s="119">
        <v>2.0</v>
      </c>
      <c r="AO2" s="119">
        <v>2.0</v>
      </c>
      <c r="AP2" s="119">
        <v>1.0</v>
      </c>
      <c r="AQ2" s="119" t="s">
        <v>39</v>
      </c>
    </row>
    <row r="3" ht="22.5" customHeight="1">
      <c r="A3" s="121">
        <v>46084.303100613426</v>
      </c>
      <c r="B3" s="120" t="s">
        <v>334</v>
      </c>
      <c r="C3" s="120" t="s">
        <v>17</v>
      </c>
      <c r="D3" s="120">
        <v>3.0</v>
      </c>
      <c r="E3" s="120">
        <v>0.0</v>
      </c>
      <c r="F3" s="120">
        <v>2.0</v>
      </c>
      <c r="G3" s="120">
        <v>2.0</v>
      </c>
      <c r="H3" s="120" t="s">
        <v>44</v>
      </c>
      <c r="I3" s="120">
        <v>1.0</v>
      </c>
      <c r="J3" s="120">
        <v>2.0</v>
      </c>
      <c r="K3" s="120">
        <v>3.0</v>
      </c>
      <c r="L3" s="120">
        <v>0.0</v>
      </c>
      <c r="M3" s="120" t="s">
        <v>46</v>
      </c>
      <c r="N3" s="120">
        <v>1.0</v>
      </c>
      <c r="O3" s="120">
        <v>1.0</v>
      </c>
      <c r="P3" s="120">
        <v>1.0</v>
      </c>
      <c r="Q3" s="120">
        <v>2.0</v>
      </c>
      <c r="R3" s="120" t="s">
        <v>40</v>
      </c>
      <c r="S3" s="120">
        <v>1.0</v>
      </c>
      <c r="T3" s="120">
        <v>2.0</v>
      </c>
      <c r="U3" s="120">
        <v>2.0</v>
      </c>
      <c r="V3" s="120">
        <v>0.0</v>
      </c>
      <c r="W3" s="120" t="s">
        <v>45</v>
      </c>
      <c r="X3" s="120">
        <v>2.0</v>
      </c>
      <c r="Y3" s="120">
        <v>0.0</v>
      </c>
      <c r="Z3" s="120">
        <v>3.0</v>
      </c>
      <c r="AA3" s="120">
        <v>0.0</v>
      </c>
      <c r="AB3" s="120" t="s">
        <v>52</v>
      </c>
      <c r="AC3" s="120">
        <v>2.0</v>
      </c>
      <c r="AD3" s="120">
        <v>1.0</v>
      </c>
      <c r="AE3" s="120">
        <v>2.0</v>
      </c>
      <c r="AF3" s="120">
        <v>3.0</v>
      </c>
      <c r="AG3" s="120" t="s">
        <v>56</v>
      </c>
      <c r="AH3" s="120">
        <v>2.0</v>
      </c>
      <c r="AI3" s="120">
        <v>0.0</v>
      </c>
      <c r="AJ3" s="120">
        <v>2.0</v>
      </c>
      <c r="AK3" s="120">
        <v>0.0</v>
      </c>
      <c r="AL3" s="120" t="s">
        <v>51</v>
      </c>
      <c r="AM3" s="120">
        <v>2.0</v>
      </c>
      <c r="AN3" s="120">
        <v>3.0</v>
      </c>
      <c r="AO3" s="120">
        <v>3.0</v>
      </c>
      <c r="AP3" s="120">
        <v>1.0</v>
      </c>
      <c r="AQ3" s="120" t="s">
        <v>39</v>
      </c>
    </row>
    <row r="4" ht="22.5" customHeight="1">
      <c r="A4" s="121">
        <v>46084.31291710648</v>
      </c>
      <c r="B4" s="120" t="s">
        <v>337</v>
      </c>
      <c r="C4" s="120" t="s">
        <v>15</v>
      </c>
      <c r="D4" s="120">
        <v>2.0</v>
      </c>
      <c r="E4" s="120">
        <v>2.0</v>
      </c>
      <c r="F4" s="120">
        <v>2.0</v>
      </c>
      <c r="G4" s="120">
        <v>1.0</v>
      </c>
      <c r="H4" s="120" t="s">
        <v>55</v>
      </c>
      <c r="I4" s="120">
        <v>1.0</v>
      </c>
      <c r="J4" s="120">
        <v>2.0</v>
      </c>
      <c r="K4" s="120">
        <v>3.0</v>
      </c>
      <c r="L4" s="120">
        <v>2.0</v>
      </c>
      <c r="M4" s="120" t="s">
        <v>46</v>
      </c>
      <c r="N4" s="120">
        <v>2.0</v>
      </c>
      <c r="O4" s="120">
        <v>2.0</v>
      </c>
      <c r="P4" s="120">
        <v>1.0</v>
      </c>
      <c r="Q4" s="120">
        <v>2.0</v>
      </c>
      <c r="R4" s="120" t="s">
        <v>40</v>
      </c>
      <c r="S4" s="120">
        <v>1.0</v>
      </c>
      <c r="T4" s="120">
        <v>1.0</v>
      </c>
      <c r="U4" s="120">
        <v>3.0</v>
      </c>
      <c r="V4" s="120">
        <v>1.0</v>
      </c>
      <c r="W4" s="120" t="s">
        <v>45</v>
      </c>
      <c r="X4" s="120">
        <v>1.0</v>
      </c>
      <c r="Y4" s="120">
        <v>2.0</v>
      </c>
      <c r="Z4" s="120">
        <v>3.0</v>
      </c>
      <c r="AA4" s="120">
        <v>1.0</v>
      </c>
      <c r="AB4" s="120" t="s">
        <v>52</v>
      </c>
      <c r="AC4" s="120">
        <v>1.0</v>
      </c>
      <c r="AD4" s="120">
        <v>1.0</v>
      </c>
      <c r="AE4" s="120">
        <v>2.0</v>
      </c>
      <c r="AF4" s="120">
        <v>1.0</v>
      </c>
      <c r="AG4" s="120" t="s">
        <v>43</v>
      </c>
      <c r="AH4" s="120">
        <v>2.0</v>
      </c>
      <c r="AI4" s="120">
        <v>0.0</v>
      </c>
      <c r="AJ4" s="120">
        <v>1.0</v>
      </c>
      <c r="AK4" s="120">
        <v>0.0</v>
      </c>
      <c r="AL4" s="120" t="s">
        <v>77</v>
      </c>
      <c r="AM4" s="120">
        <v>1.0</v>
      </c>
      <c r="AN4" s="120">
        <v>2.0</v>
      </c>
      <c r="AO4" s="120">
        <v>3.0</v>
      </c>
      <c r="AP4" s="120">
        <v>0.0</v>
      </c>
      <c r="AQ4" s="120" t="s">
        <v>39</v>
      </c>
    </row>
    <row r="5" ht="22.5" customHeight="1">
      <c r="A5" s="121">
        <v>46090.113039895834</v>
      </c>
      <c r="B5" s="120" t="s">
        <v>355</v>
      </c>
      <c r="C5" s="120" t="s">
        <v>22</v>
      </c>
      <c r="D5" s="120">
        <v>2.0</v>
      </c>
      <c r="E5" s="120">
        <v>1.0</v>
      </c>
      <c r="F5" s="120">
        <v>2.0</v>
      </c>
      <c r="G5" s="120">
        <v>1.0</v>
      </c>
      <c r="H5" s="120" t="s">
        <v>44</v>
      </c>
      <c r="I5" s="120">
        <v>1.0</v>
      </c>
      <c r="J5" s="120">
        <v>1.0</v>
      </c>
      <c r="K5" s="120">
        <v>2.0</v>
      </c>
      <c r="L5" s="120">
        <v>1.0</v>
      </c>
      <c r="M5" s="120" t="s">
        <v>46</v>
      </c>
      <c r="N5" s="120">
        <v>2.0</v>
      </c>
      <c r="O5" s="120">
        <v>1.0</v>
      </c>
      <c r="P5" s="120">
        <v>1.0</v>
      </c>
      <c r="Q5" s="120">
        <v>1.0</v>
      </c>
      <c r="R5" s="120" t="s">
        <v>40</v>
      </c>
      <c r="S5" s="120">
        <v>1.0</v>
      </c>
      <c r="T5" s="120">
        <v>2.0</v>
      </c>
      <c r="U5" s="120">
        <v>2.0</v>
      </c>
      <c r="V5" s="120">
        <v>0.0</v>
      </c>
      <c r="W5" s="120" t="s">
        <v>45</v>
      </c>
      <c r="X5" s="120">
        <v>1.0</v>
      </c>
      <c r="Y5" s="120">
        <v>2.0</v>
      </c>
      <c r="Z5" s="120">
        <v>2.0</v>
      </c>
      <c r="AA5" s="120">
        <v>0.0</v>
      </c>
      <c r="AB5" s="120" t="s">
        <v>52</v>
      </c>
      <c r="AC5" s="120">
        <v>2.0</v>
      </c>
      <c r="AD5" s="120">
        <v>0.0</v>
      </c>
      <c r="AE5" s="120">
        <v>1.0</v>
      </c>
      <c r="AF5" s="120">
        <v>1.0</v>
      </c>
      <c r="AG5" s="120" t="s">
        <v>56</v>
      </c>
      <c r="AH5" s="120">
        <v>1.0</v>
      </c>
      <c r="AI5" s="120">
        <v>2.0</v>
      </c>
      <c r="AJ5" s="120">
        <v>2.0</v>
      </c>
      <c r="AK5" s="120">
        <v>1.0</v>
      </c>
      <c r="AL5" s="120" t="s">
        <v>51</v>
      </c>
      <c r="AM5" s="120">
        <v>1.0</v>
      </c>
      <c r="AN5" s="120">
        <v>2.0</v>
      </c>
      <c r="AO5" s="120">
        <v>2.0</v>
      </c>
      <c r="AP5" s="120">
        <v>1.0</v>
      </c>
      <c r="AQ5" s="120" t="s">
        <v>39</v>
      </c>
    </row>
    <row r="6" ht="22.5" customHeight="1">
      <c r="A6" s="121">
        <v>46090.2256393287</v>
      </c>
      <c r="B6" s="120" t="s">
        <v>404</v>
      </c>
      <c r="C6" s="120" t="s">
        <v>14</v>
      </c>
      <c r="D6" s="120">
        <v>1.0</v>
      </c>
      <c r="E6" s="120">
        <v>1.0</v>
      </c>
      <c r="F6" s="120">
        <v>2.0</v>
      </c>
      <c r="G6" s="120">
        <v>0.0</v>
      </c>
      <c r="H6" s="120" t="s">
        <v>55</v>
      </c>
      <c r="I6" s="120">
        <v>1.0</v>
      </c>
      <c r="J6" s="120">
        <v>0.0</v>
      </c>
      <c r="K6" s="120">
        <v>3.0</v>
      </c>
      <c r="L6" s="120">
        <v>1.0</v>
      </c>
      <c r="M6" s="120" t="s">
        <v>46</v>
      </c>
      <c r="N6" s="120">
        <v>0.0</v>
      </c>
      <c r="O6" s="120">
        <v>2.0</v>
      </c>
      <c r="P6" s="120">
        <v>2.0</v>
      </c>
      <c r="Q6" s="120">
        <v>2.0</v>
      </c>
      <c r="R6" s="120" t="s">
        <v>49</v>
      </c>
      <c r="S6" s="120">
        <v>0.0</v>
      </c>
      <c r="T6" s="120">
        <v>3.0</v>
      </c>
      <c r="U6" s="120">
        <v>2.0</v>
      </c>
      <c r="V6" s="120">
        <v>0.0</v>
      </c>
      <c r="W6" s="120" t="s">
        <v>45</v>
      </c>
      <c r="X6" s="120">
        <v>2.0</v>
      </c>
      <c r="Y6" s="120">
        <v>2.0</v>
      </c>
      <c r="Z6" s="120">
        <v>4.0</v>
      </c>
      <c r="AA6" s="120">
        <v>1.0</v>
      </c>
      <c r="AB6" s="120" t="s">
        <v>52</v>
      </c>
      <c r="AC6" s="120">
        <v>1.0</v>
      </c>
      <c r="AD6" s="120">
        <v>0.0</v>
      </c>
      <c r="AE6" s="120">
        <v>1.0</v>
      </c>
      <c r="AF6" s="120">
        <v>1.0</v>
      </c>
      <c r="AG6" s="120" t="s">
        <v>56</v>
      </c>
      <c r="AH6" s="120">
        <v>1.0</v>
      </c>
      <c r="AI6" s="120">
        <v>0.0</v>
      </c>
      <c r="AJ6" s="120">
        <v>1.0</v>
      </c>
      <c r="AK6" s="120">
        <v>2.0</v>
      </c>
      <c r="AL6" s="120" t="s">
        <v>77</v>
      </c>
      <c r="AM6" s="120">
        <v>0.0</v>
      </c>
      <c r="AN6" s="120">
        <v>0.0</v>
      </c>
      <c r="AO6" s="120">
        <v>2.0</v>
      </c>
      <c r="AP6" s="120">
        <v>0.0</v>
      </c>
      <c r="AQ6" s="120" t="s">
        <v>39</v>
      </c>
    </row>
    <row r="7" ht="22.5" customHeight="1">
      <c r="A7" s="121">
        <v>46090.305378125</v>
      </c>
      <c r="B7" s="120" t="s">
        <v>342</v>
      </c>
      <c r="C7" s="120" t="s">
        <v>7</v>
      </c>
      <c r="D7" s="120">
        <v>2.0</v>
      </c>
      <c r="E7" s="120">
        <v>3.0</v>
      </c>
      <c r="F7" s="120">
        <v>3.0</v>
      </c>
      <c r="G7" s="120">
        <v>3.0</v>
      </c>
      <c r="H7" s="120" t="s">
        <v>55</v>
      </c>
      <c r="I7" s="120">
        <v>1.0</v>
      </c>
      <c r="J7" s="120">
        <v>1.0</v>
      </c>
      <c r="K7" s="120">
        <v>2.0</v>
      </c>
      <c r="L7" s="120">
        <v>1.0</v>
      </c>
      <c r="M7" s="120" t="s">
        <v>46</v>
      </c>
      <c r="N7" s="120">
        <v>2.0</v>
      </c>
      <c r="O7" s="120">
        <v>2.0</v>
      </c>
      <c r="P7" s="120">
        <v>1.0</v>
      </c>
      <c r="Q7" s="120">
        <v>2.0</v>
      </c>
      <c r="R7" s="120" t="s">
        <v>40</v>
      </c>
      <c r="S7" s="120">
        <v>0.0</v>
      </c>
      <c r="T7" s="120">
        <v>2.0</v>
      </c>
      <c r="U7" s="120">
        <v>4.0</v>
      </c>
      <c r="V7" s="120">
        <v>0.0</v>
      </c>
      <c r="W7" s="120" t="s">
        <v>45</v>
      </c>
      <c r="X7" s="120">
        <v>1.0</v>
      </c>
      <c r="Y7" s="120">
        <v>3.0</v>
      </c>
      <c r="Z7" s="120">
        <v>4.0</v>
      </c>
      <c r="AA7" s="120">
        <v>1.0</v>
      </c>
      <c r="AB7" s="120" t="s">
        <v>52</v>
      </c>
      <c r="AC7" s="120">
        <v>1.0</v>
      </c>
      <c r="AD7" s="120">
        <v>0.0</v>
      </c>
      <c r="AE7" s="120">
        <v>2.0</v>
      </c>
      <c r="AF7" s="120">
        <v>2.0</v>
      </c>
      <c r="AG7" s="120" t="s">
        <v>56</v>
      </c>
      <c r="AH7" s="120">
        <v>2.0</v>
      </c>
      <c r="AI7" s="120">
        <v>2.0</v>
      </c>
      <c r="AJ7" s="120">
        <v>3.0</v>
      </c>
      <c r="AK7" s="120">
        <v>2.0</v>
      </c>
      <c r="AL7" s="120" t="s">
        <v>51</v>
      </c>
      <c r="AM7" s="120">
        <v>2.0</v>
      </c>
      <c r="AN7" s="120">
        <v>2.0</v>
      </c>
      <c r="AO7" s="120">
        <v>4.0</v>
      </c>
      <c r="AP7" s="120">
        <v>2.0</v>
      </c>
      <c r="AQ7" s="120" t="s">
        <v>39</v>
      </c>
    </row>
    <row r="8" ht="22.5" customHeight="1">
      <c r="A8" s="121">
        <v>46090.38214497685</v>
      </c>
      <c r="B8" s="120" t="s">
        <v>343</v>
      </c>
      <c r="C8" s="120" t="s">
        <v>5</v>
      </c>
      <c r="D8" s="120">
        <v>2.0</v>
      </c>
      <c r="E8" s="120">
        <v>1.0</v>
      </c>
      <c r="F8" s="120">
        <v>2.0</v>
      </c>
      <c r="G8" s="120">
        <v>1.0</v>
      </c>
      <c r="H8" s="120" t="s">
        <v>44</v>
      </c>
      <c r="I8" s="120">
        <v>2.0</v>
      </c>
      <c r="J8" s="120">
        <v>3.0</v>
      </c>
      <c r="K8" s="120">
        <v>2.0</v>
      </c>
      <c r="L8" s="120">
        <v>0.0</v>
      </c>
      <c r="M8" s="120" t="s">
        <v>46</v>
      </c>
      <c r="N8" s="120">
        <v>2.0</v>
      </c>
      <c r="O8" s="120">
        <v>1.0</v>
      </c>
      <c r="P8" s="120">
        <v>2.0</v>
      </c>
      <c r="Q8" s="120">
        <v>2.0</v>
      </c>
      <c r="R8" s="120" t="s">
        <v>40</v>
      </c>
      <c r="S8" s="120">
        <v>1.0</v>
      </c>
      <c r="T8" s="120">
        <v>2.0</v>
      </c>
      <c r="U8" s="120">
        <v>4.0</v>
      </c>
      <c r="V8" s="120">
        <v>1.0</v>
      </c>
      <c r="W8" s="120" t="s">
        <v>45</v>
      </c>
      <c r="X8" s="120">
        <v>1.0</v>
      </c>
      <c r="Y8" s="120">
        <v>1.0</v>
      </c>
      <c r="Z8" s="120">
        <v>2.0</v>
      </c>
      <c r="AA8" s="120">
        <v>0.0</v>
      </c>
      <c r="AB8" s="120" t="s">
        <v>52</v>
      </c>
      <c r="AC8" s="120">
        <v>1.0</v>
      </c>
      <c r="AD8" s="120">
        <v>0.0</v>
      </c>
      <c r="AE8" s="120">
        <v>1.0</v>
      </c>
      <c r="AF8" s="120">
        <v>2.0</v>
      </c>
      <c r="AG8" s="120" t="s">
        <v>56</v>
      </c>
      <c r="AH8" s="120">
        <v>2.0</v>
      </c>
      <c r="AI8" s="120">
        <v>1.0</v>
      </c>
      <c r="AJ8" s="120">
        <v>1.0</v>
      </c>
      <c r="AK8" s="120">
        <v>1.0</v>
      </c>
      <c r="AL8" s="120" t="s">
        <v>77</v>
      </c>
      <c r="AM8" s="120">
        <v>1.0</v>
      </c>
      <c r="AN8" s="120">
        <v>0.0</v>
      </c>
      <c r="AO8" s="120">
        <v>2.0</v>
      </c>
      <c r="AP8" s="120">
        <v>0.0</v>
      </c>
      <c r="AQ8" s="120" t="s">
        <v>39</v>
      </c>
    </row>
    <row r="9" ht="22.5" customHeight="1">
      <c r="A9" s="121">
        <v>46090.52812993056</v>
      </c>
      <c r="B9" s="120" t="s">
        <v>345</v>
      </c>
      <c r="C9" s="120" t="s">
        <v>6</v>
      </c>
      <c r="D9" s="120">
        <v>2.0</v>
      </c>
      <c r="E9" s="120">
        <v>1.0</v>
      </c>
      <c r="F9" s="120">
        <v>1.0</v>
      </c>
      <c r="G9" s="120">
        <v>2.0</v>
      </c>
      <c r="H9" s="120" t="s">
        <v>44</v>
      </c>
      <c r="I9" s="120">
        <v>1.0</v>
      </c>
      <c r="J9" s="120">
        <v>0.0</v>
      </c>
      <c r="K9" s="120">
        <v>2.0</v>
      </c>
      <c r="L9" s="120">
        <v>0.0</v>
      </c>
      <c r="M9" s="120" t="s">
        <v>46</v>
      </c>
      <c r="N9" s="120">
        <v>1.0</v>
      </c>
      <c r="O9" s="120">
        <v>2.0</v>
      </c>
      <c r="P9" s="120">
        <v>3.0</v>
      </c>
      <c r="Q9" s="120">
        <v>2.0</v>
      </c>
      <c r="R9" s="120" t="s">
        <v>49</v>
      </c>
      <c r="S9" s="120">
        <v>0.0</v>
      </c>
      <c r="T9" s="120">
        <v>3.0</v>
      </c>
      <c r="U9" s="120">
        <v>4.0</v>
      </c>
      <c r="V9" s="120">
        <v>1.0</v>
      </c>
      <c r="W9" s="120" t="s">
        <v>45</v>
      </c>
      <c r="X9" s="120">
        <v>2.0</v>
      </c>
      <c r="Y9" s="120">
        <v>1.0</v>
      </c>
      <c r="Z9" s="120">
        <v>4.0</v>
      </c>
      <c r="AA9" s="120">
        <v>2.0</v>
      </c>
      <c r="AB9" s="120" t="s">
        <v>52</v>
      </c>
      <c r="AC9" s="120">
        <v>4.0</v>
      </c>
      <c r="AD9" s="120">
        <v>0.0</v>
      </c>
      <c r="AE9" s="120">
        <v>0.0</v>
      </c>
      <c r="AF9" s="120">
        <v>2.0</v>
      </c>
      <c r="AG9" s="120" t="s">
        <v>56</v>
      </c>
      <c r="AH9" s="120">
        <v>2.0</v>
      </c>
      <c r="AI9" s="120">
        <v>1.0</v>
      </c>
      <c r="AJ9" s="120">
        <v>1.0</v>
      </c>
      <c r="AK9" s="120">
        <v>1.0</v>
      </c>
      <c r="AL9" s="120" t="s">
        <v>77</v>
      </c>
      <c r="AM9" s="120">
        <v>2.0</v>
      </c>
      <c r="AN9" s="120">
        <v>2.0</v>
      </c>
      <c r="AO9" s="120">
        <v>3.0</v>
      </c>
      <c r="AP9" s="120">
        <v>1.0</v>
      </c>
      <c r="AQ9" s="120" t="s">
        <v>39</v>
      </c>
    </row>
    <row r="10" ht="22.5" customHeight="1">
      <c r="A10" s="121">
        <v>46090.541003356484</v>
      </c>
      <c r="B10" s="120" t="s">
        <v>354</v>
      </c>
      <c r="C10" s="120" t="s">
        <v>11</v>
      </c>
      <c r="D10" s="120">
        <v>2.0</v>
      </c>
      <c r="E10" s="120">
        <v>3.0</v>
      </c>
      <c r="F10" s="120">
        <v>1.0</v>
      </c>
      <c r="G10" s="120">
        <v>0.0</v>
      </c>
      <c r="H10" s="120" t="s">
        <v>55</v>
      </c>
      <c r="I10" s="120">
        <v>1.0</v>
      </c>
      <c r="J10" s="120">
        <v>2.0</v>
      </c>
      <c r="K10" s="120">
        <v>0.0</v>
      </c>
      <c r="L10" s="120">
        <v>0.0</v>
      </c>
      <c r="M10" s="120" t="s">
        <v>46</v>
      </c>
      <c r="N10" s="120">
        <v>1.0</v>
      </c>
      <c r="O10" s="120">
        <v>1.0</v>
      </c>
      <c r="P10" s="120">
        <v>2.0</v>
      </c>
      <c r="Q10" s="120">
        <v>2.0</v>
      </c>
      <c r="R10" s="120" t="s">
        <v>49</v>
      </c>
      <c r="S10" s="120">
        <v>1.0</v>
      </c>
      <c r="T10" s="120">
        <v>0.0</v>
      </c>
      <c r="U10" s="120">
        <v>1.0</v>
      </c>
      <c r="V10" s="120">
        <v>0.0</v>
      </c>
      <c r="W10" s="120" t="s">
        <v>45</v>
      </c>
      <c r="X10" s="120">
        <v>1.0</v>
      </c>
      <c r="Y10" s="120">
        <v>3.0</v>
      </c>
      <c r="Z10" s="120">
        <v>2.0</v>
      </c>
      <c r="AA10" s="120">
        <v>0.0</v>
      </c>
      <c r="AB10" s="120" t="s">
        <v>52</v>
      </c>
      <c r="AC10" s="120">
        <v>1.0</v>
      </c>
      <c r="AD10" s="120">
        <v>2.0</v>
      </c>
      <c r="AE10" s="120">
        <v>2.0</v>
      </c>
      <c r="AF10" s="120">
        <v>0.0</v>
      </c>
      <c r="AG10" s="120" t="s">
        <v>43</v>
      </c>
      <c r="AH10" s="120">
        <v>1.0</v>
      </c>
      <c r="AI10" s="120">
        <v>0.0</v>
      </c>
      <c r="AJ10" s="120">
        <v>2.0</v>
      </c>
      <c r="AK10" s="120">
        <v>1.0</v>
      </c>
      <c r="AL10" s="120" t="s">
        <v>77</v>
      </c>
      <c r="AM10" s="120">
        <v>1.0</v>
      </c>
      <c r="AN10" s="120">
        <v>1.0</v>
      </c>
      <c r="AO10" s="120">
        <v>1.0</v>
      </c>
      <c r="AP10" s="120">
        <v>0.0</v>
      </c>
      <c r="AQ10" s="120" t="s">
        <v>39</v>
      </c>
    </row>
    <row r="11" ht="22.5" customHeight="1">
      <c r="A11" s="121">
        <v>46090.64977523148</v>
      </c>
      <c r="B11" s="120" t="s">
        <v>423</v>
      </c>
      <c r="C11" s="120" t="s">
        <v>4</v>
      </c>
      <c r="D11" s="120">
        <v>2.0</v>
      </c>
      <c r="E11" s="120">
        <v>2.0</v>
      </c>
      <c r="F11" s="120">
        <v>1.0</v>
      </c>
      <c r="G11" s="120">
        <v>2.0</v>
      </c>
      <c r="H11" s="120" t="s">
        <v>44</v>
      </c>
      <c r="I11" s="120">
        <v>1.0</v>
      </c>
      <c r="J11" s="120">
        <v>0.0</v>
      </c>
      <c r="K11" s="120">
        <v>3.0</v>
      </c>
      <c r="L11" s="120">
        <v>1.0</v>
      </c>
      <c r="M11" s="120" t="s">
        <v>46</v>
      </c>
      <c r="N11" s="120">
        <v>1.0</v>
      </c>
      <c r="O11" s="120">
        <v>1.0</v>
      </c>
      <c r="P11" s="120">
        <v>2.0</v>
      </c>
      <c r="Q11" s="120">
        <v>2.0</v>
      </c>
      <c r="R11" s="120" t="s">
        <v>40</v>
      </c>
      <c r="S11" s="120">
        <v>1.0</v>
      </c>
      <c r="T11" s="120">
        <v>2.0</v>
      </c>
      <c r="U11" s="120">
        <v>2.0</v>
      </c>
      <c r="V11" s="120">
        <v>0.0</v>
      </c>
      <c r="W11" s="120" t="s">
        <v>45</v>
      </c>
      <c r="X11" s="120">
        <v>1.0</v>
      </c>
      <c r="Y11" s="120">
        <v>2.0</v>
      </c>
      <c r="Z11" s="120">
        <v>3.0</v>
      </c>
      <c r="AA11" s="120">
        <v>1.0</v>
      </c>
      <c r="AB11" s="120" t="s">
        <v>52</v>
      </c>
      <c r="AC11" s="120">
        <v>1.0</v>
      </c>
      <c r="AD11" s="120">
        <v>0.0</v>
      </c>
      <c r="AE11" s="120">
        <v>1.0</v>
      </c>
      <c r="AF11" s="120">
        <v>1.0</v>
      </c>
      <c r="AG11" s="120" t="s">
        <v>56</v>
      </c>
      <c r="AH11" s="120">
        <v>2.0</v>
      </c>
      <c r="AI11" s="120">
        <v>0.0</v>
      </c>
      <c r="AJ11" s="120">
        <v>0.0</v>
      </c>
      <c r="AK11" s="120">
        <v>0.0</v>
      </c>
      <c r="AL11" s="120" t="s">
        <v>77</v>
      </c>
      <c r="AM11" s="120">
        <v>1.0</v>
      </c>
      <c r="AN11" s="120">
        <v>2.0</v>
      </c>
      <c r="AO11" s="120">
        <v>2.0</v>
      </c>
      <c r="AP11" s="120">
        <v>0.0</v>
      </c>
      <c r="AQ11" s="120" t="s">
        <v>39</v>
      </c>
    </row>
    <row r="12" ht="22.5" customHeight="1">
      <c r="A12" s="121">
        <v>46090.65092010416</v>
      </c>
      <c r="B12" s="120" t="s">
        <v>347</v>
      </c>
      <c r="C12" s="120" t="s">
        <v>10</v>
      </c>
      <c r="D12" s="120">
        <v>2.0</v>
      </c>
      <c r="E12" s="120">
        <v>1.0</v>
      </c>
      <c r="F12" s="120">
        <v>3.0</v>
      </c>
      <c r="G12" s="120">
        <v>2.0</v>
      </c>
      <c r="H12" s="120" t="s">
        <v>44</v>
      </c>
      <c r="I12" s="120">
        <v>1.0</v>
      </c>
      <c r="J12" s="120">
        <v>0.0</v>
      </c>
      <c r="K12" s="120">
        <v>3.0</v>
      </c>
      <c r="L12" s="120">
        <v>1.0</v>
      </c>
      <c r="M12" s="120" t="s">
        <v>46</v>
      </c>
      <c r="N12" s="120">
        <v>1.0</v>
      </c>
      <c r="O12" s="120">
        <v>1.0</v>
      </c>
      <c r="P12" s="120">
        <v>3.0</v>
      </c>
      <c r="Q12" s="120">
        <v>0.0</v>
      </c>
      <c r="R12" s="120" t="s">
        <v>49</v>
      </c>
      <c r="S12" s="120">
        <v>1.0</v>
      </c>
      <c r="T12" s="120">
        <v>2.0</v>
      </c>
      <c r="U12" s="120">
        <v>2.0</v>
      </c>
      <c r="V12" s="120">
        <v>0.0</v>
      </c>
      <c r="W12" s="120" t="s">
        <v>45</v>
      </c>
      <c r="X12" s="120">
        <v>1.0</v>
      </c>
      <c r="Y12" s="120">
        <v>2.0</v>
      </c>
      <c r="Z12" s="120">
        <v>3.0</v>
      </c>
      <c r="AA12" s="120">
        <v>0.0</v>
      </c>
      <c r="AB12" s="120" t="s">
        <v>52</v>
      </c>
      <c r="AC12" s="120">
        <v>2.0</v>
      </c>
      <c r="AD12" s="120">
        <v>0.0</v>
      </c>
      <c r="AE12" s="120">
        <v>2.0</v>
      </c>
      <c r="AF12" s="120">
        <v>1.0</v>
      </c>
      <c r="AG12" s="120" t="s">
        <v>56</v>
      </c>
      <c r="AH12" s="120">
        <v>2.0</v>
      </c>
      <c r="AI12" s="120">
        <v>0.0</v>
      </c>
      <c r="AJ12" s="120">
        <v>2.0</v>
      </c>
      <c r="AK12" s="120">
        <v>2.0</v>
      </c>
      <c r="AL12" s="120" t="s">
        <v>77</v>
      </c>
      <c r="AM12" s="120">
        <v>1.0</v>
      </c>
      <c r="AN12" s="120">
        <v>0.0</v>
      </c>
      <c r="AO12" s="120">
        <v>3.0</v>
      </c>
      <c r="AP12" s="120">
        <v>1.0</v>
      </c>
      <c r="AQ12" s="120" t="s">
        <v>39</v>
      </c>
    </row>
    <row r="13" ht="22.5" customHeight="1">
      <c r="A13" s="121">
        <v>46090.77191766204</v>
      </c>
      <c r="B13" s="120" t="s">
        <v>350</v>
      </c>
      <c r="C13" s="120" t="s">
        <v>2</v>
      </c>
      <c r="D13" s="120">
        <v>2.0</v>
      </c>
      <c r="E13" s="120">
        <v>1.0</v>
      </c>
      <c r="F13" s="120">
        <v>2.0</v>
      </c>
      <c r="G13" s="120">
        <v>2.0</v>
      </c>
      <c r="H13" s="120" t="s">
        <v>44</v>
      </c>
      <c r="I13" s="120">
        <v>1.0</v>
      </c>
      <c r="J13" s="120">
        <v>3.0</v>
      </c>
      <c r="K13" s="120">
        <v>2.0</v>
      </c>
      <c r="L13" s="120">
        <v>0.0</v>
      </c>
      <c r="M13" s="120" t="s">
        <v>46</v>
      </c>
      <c r="N13" s="120">
        <v>2.0</v>
      </c>
      <c r="O13" s="120">
        <v>1.0</v>
      </c>
      <c r="P13" s="120">
        <v>2.0</v>
      </c>
      <c r="Q13" s="120">
        <v>1.0</v>
      </c>
      <c r="R13" s="120" t="s">
        <v>40</v>
      </c>
      <c r="S13" s="120">
        <v>1.0</v>
      </c>
      <c r="T13" s="120">
        <v>3.0</v>
      </c>
      <c r="U13" s="120">
        <v>2.0</v>
      </c>
      <c r="V13" s="120">
        <v>0.0</v>
      </c>
      <c r="W13" s="120" t="s">
        <v>45</v>
      </c>
      <c r="X13" s="120">
        <v>2.0</v>
      </c>
      <c r="Y13" s="120">
        <v>2.0</v>
      </c>
      <c r="Z13" s="120">
        <v>3.0</v>
      </c>
      <c r="AA13" s="120">
        <v>1.0</v>
      </c>
      <c r="AB13" s="120" t="s">
        <v>52</v>
      </c>
      <c r="AC13" s="120">
        <v>2.0</v>
      </c>
      <c r="AD13" s="120">
        <v>0.0</v>
      </c>
      <c r="AE13" s="120">
        <v>0.0</v>
      </c>
      <c r="AF13" s="120">
        <v>1.0</v>
      </c>
      <c r="AG13" s="120" t="s">
        <v>56</v>
      </c>
      <c r="AH13" s="120">
        <v>2.0</v>
      </c>
      <c r="AI13" s="120">
        <v>2.0</v>
      </c>
      <c r="AJ13" s="120">
        <v>2.0</v>
      </c>
      <c r="AK13" s="120">
        <v>0.0</v>
      </c>
      <c r="AL13" s="120" t="s">
        <v>51</v>
      </c>
      <c r="AM13" s="120">
        <v>1.0</v>
      </c>
      <c r="AN13" s="120">
        <v>3.0</v>
      </c>
      <c r="AO13" s="120">
        <v>3.0</v>
      </c>
      <c r="AP13" s="120">
        <v>0.0</v>
      </c>
      <c r="AQ13" s="120" t="s">
        <v>39</v>
      </c>
    </row>
    <row r="14" ht="22.5" customHeight="1">
      <c r="A14" s="121">
        <v>46091.21505456018</v>
      </c>
      <c r="B14" s="120" t="s">
        <v>331</v>
      </c>
      <c r="C14" s="120" t="s">
        <v>21</v>
      </c>
      <c r="D14" s="120">
        <v>1.0</v>
      </c>
      <c r="E14" s="120">
        <v>2.0</v>
      </c>
      <c r="F14" s="120">
        <v>1.0</v>
      </c>
      <c r="G14" s="120">
        <v>1.0</v>
      </c>
      <c r="H14" s="120" t="s">
        <v>55</v>
      </c>
      <c r="I14" s="120">
        <v>1.0</v>
      </c>
      <c r="J14" s="120">
        <v>3.0</v>
      </c>
      <c r="K14" s="120">
        <v>2.0</v>
      </c>
      <c r="L14" s="120">
        <v>1.0</v>
      </c>
      <c r="M14" s="120" t="s">
        <v>46</v>
      </c>
      <c r="N14" s="120">
        <v>3.0</v>
      </c>
      <c r="O14" s="120">
        <v>0.0</v>
      </c>
      <c r="P14" s="120">
        <v>2.0</v>
      </c>
      <c r="Q14" s="120">
        <v>2.0</v>
      </c>
      <c r="R14" s="120" t="s">
        <v>40</v>
      </c>
      <c r="S14" s="120">
        <v>2.0</v>
      </c>
      <c r="T14" s="120">
        <v>2.0</v>
      </c>
      <c r="U14" s="120">
        <v>2.0</v>
      </c>
      <c r="V14" s="120">
        <v>1.0</v>
      </c>
      <c r="W14" s="120" t="s">
        <v>45</v>
      </c>
      <c r="X14" s="120">
        <v>0.0</v>
      </c>
      <c r="Y14" s="120">
        <v>2.0</v>
      </c>
      <c r="Z14" s="120">
        <v>1.0</v>
      </c>
      <c r="AA14" s="120">
        <v>0.0</v>
      </c>
      <c r="AB14" s="120" t="s">
        <v>52</v>
      </c>
      <c r="AC14" s="120">
        <v>2.0</v>
      </c>
      <c r="AD14" s="120">
        <v>0.0</v>
      </c>
      <c r="AE14" s="120">
        <v>2.0</v>
      </c>
      <c r="AF14" s="120">
        <v>1.0</v>
      </c>
      <c r="AG14" s="120" t="s">
        <v>56</v>
      </c>
      <c r="AH14" s="120">
        <v>1.0</v>
      </c>
      <c r="AI14" s="120">
        <v>1.0</v>
      </c>
      <c r="AJ14" s="120">
        <v>2.0</v>
      </c>
      <c r="AK14" s="120">
        <v>1.0</v>
      </c>
      <c r="AL14" s="120" t="s">
        <v>51</v>
      </c>
      <c r="AM14" s="120">
        <v>1.0</v>
      </c>
      <c r="AN14" s="120">
        <v>3.0</v>
      </c>
      <c r="AO14" s="120">
        <v>2.0</v>
      </c>
      <c r="AP14" s="120">
        <v>0.0</v>
      </c>
      <c r="AQ14" s="120" t="s">
        <v>39</v>
      </c>
    </row>
    <row r="15" ht="22.5" customHeight="1">
      <c r="A15" s="121">
        <v>46091.27009478009</v>
      </c>
      <c r="B15" s="120" t="s">
        <v>359</v>
      </c>
      <c r="C15" s="120" t="s">
        <v>12</v>
      </c>
      <c r="D15" s="120">
        <v>3.0</v>
      </c>
      <c r="E15" s="120">
        <v>1.0</v>
      </c>
      <c r="F15" s="120">
        <v>2.0</v>
      </c>
      <c r="G15" s="120">
        <v>2.0</v>
      </c>
      <c r="H15" s="120" t="s">
        <v>44</v>
      </c>
      <c r="I15" s="120">
        <v>1.0</v>
      </c>
      <c r="J15" s="120">
        <v>1.0</v>
      </c>
      <c r="K15" s="120">
        <v>2.0</v>
      </c>
      <c r="L15" s="120">
        <v>1.0</v>
      </c>
      <c r="M15" s="120" t="s">
        <v>46</v>
      </c>
      <c r="N15" s="120">
        <v>3.0</v>
      </c>
      <c r="O15" s="120">
        <v>2.0</v>
      </c>
      <c r="P15" s="120">
        <v>2.0</v>
      </c>
      <c r="Q15" s="120">
        <v>2.0</v>
      </c>
      <c r="R15" s="120" t="s">
        <v>40</v>
      </c>
      <c r="S15" s="120">
        <v>1.0</v>
      </c>
      <c r="T15" s="120">
        <v>1.0</v>
      </c>
      <c r="U15" s="120">
        <v>2.0</v>
      </c>
      <c r="V15" s="120">
        <v>0.0</v>
      </c>
      <c r="W15" s="120" t="s">
        <v>45</v>
      </c>
      <c r="X15" s="120">
        <v>1.0</v>
      </c>
      <c r="Y15" s="120">
        <v>1.0</v>
      </c>
      <c r="Z15" s="120">
        <v>3.0</v>
      </c>
      <c r="AA15" s="120">
        <v>1.0</v>
      </c>
      <c r="AB15" s="120" t="s">
        <v>52</v>
      </c>
      <c r="AC15" s="120">
        <v>2.0</v>
      </c>
      <c r="AD15" s="120">
        <v>1.0</v>
      </c>
      <c r="AE15" s="120">
        <v>1.0</v>
      </c>
      <c r="AF15" s="120">
        <v>1.0</v>
      </c>
      <c r="AG15" s="120" t="s">
        <v>56</v>
      </c>
      <c r="AH15" s="120">
        <v>2.0</v>
      </c>
      <c r="AI15" s="120">
        <v>2.0</v>
      </c>
      <c r="AJ15" s="120">
        <v>1.0</v>
      </c>
      <c r="AK15" s="120">
        <v>0.0</v>
      </c>
      <c r="AL15" s="120" t="s">
        <v>51</v>
      </c>
      <c r="AM15" s="120">
        <v>0.0</v>
      </c>
      <c r="AN15" s="120">
        <v>0.0</v>
      </c>
      <c r="AO15" s="120">
        <v>1.0</v>
      </c>
      <c r="AP15" s="120">
        <v>0.0</v>
      </c>
      <c r="AQ15" s="120" t="s">
        <v>39</v>
      </c>
    </row>
    <row r="16" ht="22.5" customHeight="1">
      <c r="A16" s="121">
        <v>46091.30027748842</v>
      </c>
      <c r="B16" s="120" t="s">
        <v>363</v>
      </c>
      <c r="C16" s="120" t="s">
        <v>20</v>
      </c>
      <c r="D16" s="120">
        <v>1.0</v>
      </c>
      <c r="E16" s="120">
        <v>1.0</v>
      </c>
      <c r="F16" s="120">
        <v>3.0</v>
      </c>
      <c r="G16" s="120">
        <v>0.0</v>
      </c>
      <c r="H16" s="120" t="s">
        <v>55</v>
      </c>
      <c r="I16" s="120">
        <v>1.0</v>
      </c>
      <c r="J16" s="120">
        <v>0.0</v>
      </c>
      <c r="K16" s="120">
        <v>2.0</v>
      </c>
      <c r="L16" s="120">
        <v>1.0</v>
      </c>
      <c r="M16" s="120" t="s">
        <v>58</v>
      </c>
      <c r="N16" s="120">
        <v>2.0</v>
      </c>
      <c r="O16" s="120">
        <v>2.0</v>
      </c>
      <c r="P16" s="120">
        <v>3.0</v>
      </c>
      <c r="Q16" s="120">
        <v>1.0</v>
      </c>
      <c r="R16" s="120" t="s">
        <v>49</v>
      </c>
      <c r="S16" s="120">
        <v>1.0</v>
      </c>
      <c r="T16" s="120">
        <v>1.0</v>
      </c>
      <c r="U16" s="120">
        <v>2.0</v>
      </c>
      <c r="V16" s="120">
        <v>1.0</v>
      </c>
      <c r="W16" s="120" t="s">
        <v>45</v>
      </c>
      <c r="X16" s="120">
        <v>1.0</v>
      </c>
      <c r="Y16" s="120">
        <v>1.0</v>
      </c>
      <c r="Z16" s="120">
        <v>4.0</v>
      </c>
      <c r="AA16" s="120">
        <v>1.0</v>
      </c>
      <c r="AB16" s="120" t="s">
        <v>52</v>
      </c>
      <c r="AC16" s="120">
        <v>1.0</v>
      </c>
      <c r="AD16" s="120">
        <v>1.0</v>
      </c>
      <c r="AE16" s="120">
        <v>1.0</v>
      </c>
      <c r="AF16" s="120">
        <v>1.0</v>
      </c>
      <c r="AG16" s="120" t="s">
        <v>43</v>
      </c>
      <c r="AH16" s="120">
        <v>2.0</v>
      </c>
      <c r="AI16" s="120">
        <v>1.0</v>
      </c>
      <c r="AJ16" s="120">
        <v>2.0</v>
      </c>
      <c r="AK16" s="120">
        <v>1.0</v>
      </c>
      <c r="AL16" s="120" t="s">
        <v>51</v>
      </c>
      <c r="AM16" s="120">
        <v>1.0</v>
      </c>
      <c r="AN16" s="120">
        <v>1.0</v>
      </c>
      <c r="AO16" s="120">
        <v>1.0</v>
      </c>
      <c r="AP16" s="120">
        <v>1.0</v>
      </c>
      <c r="AQ16" s="120" t="s">
        <v>39</v>
      </c>
    </row>
    <row r="17" ht="22.5" customHeight="1">
      <c r="A17" s="121">
        <v>46091.33019453703</v>
      </c>
      <c r="B17" s="120" t="s">
        <v>340</v>
      </c>
      <c r="C17" s="120" t="s">
        <v>9</v>
      </c>
      <c r="D17" s="120">
        <v>1.0</v>
      </c>
      <c r="E17" s="120">
        <v>0.0</v>
      </c>
      <c r="F17" s="120">
        <v>2.0</v>
      </c>
      <c r="G17" s="120">
        <v>2.0</v>
      </c>
      <c r="H17" s="120" t="s">
        <v>44</v>
      </c>
      <c r="I17" s="120">
        <v>1.0</v>
      </c>
      <c r="J17" s="120">
        <v>1.0</v>
      </c>
      <c r="K17" s="120">
        <v>2.0</v>
      </c>
      <c r="L17" s="120">
        <v>1.0</v>
      </c>
      <c r="M17" s="120" t="s">
        <v>46</v>
      </c>
      <c r="N17" s="120">
        <v>2.0</v>
      </c>
      <c r="O17" s="120">
        <v>1.0</v>
      </c>
      <c r="P17" s="120">
        <v>2.0</v>
      </c>
      <c r="Q17" s="120">
        <v>2.0</v>
      </c>
      <c r="R17" s="120" t="s">
        <v>40</v>
      </c>
      <c r="S17" s="120">
        <v>1.0</v>
      </c>
      <c r="T17" s="120">
        <v>1.0</v>
      </c>
      <c r="U17" s="120">
        <v>3.0</v>
      </c>
      <c r="V17" s="120">
        <v>1.0</v>
      </c>
      <c r="W17" s="120" t="s">
        <v>45</v>
      </c>
      <c r="X17" s="120">
        <v>1.0</v>
      </c>
      <c r="Y17" s="120">
        <v>2.0</v>
      </c>
      <c r="Z17" s="120">
        <v>3.0</v>
      </c>
      <c r="AA17" s="120">
        <v>1.0</v>
      </c>
      <c r="AB17" s="120" t="s">
        <v>52</v>
      </c>
      <c r="AC17" s="120">
        <v>0.0</v>
      </c>
      <c r="AD17" s="120">
        <v>0.0</v>
      </c>
      <c r="AE17" s="120">
        <v>2.0</v>
      </c>
      <c r="AF17" s="120">
        <v>0.0</v>
      </c>
      <c r="AG17" s="120" t="s">
        <v>43</v>
      </c>
      <c r="AH17" s="120">
        <v>1.0</v>
      </c>
      <c r="AI17" s="120">
        <v>0.0</v>
      </c>
      <c r="AJ17" s="120">
        <v>2.0</v>
      </c>
      <c r="AK17" s="120">
        <v>0.0</v>
      </c>
      <c r="AL17" s="120" t="s">
        <v>51</v>
      </c>
      <c r="AM17" s="120">
        <v>2.0</v>
      </c>
      <c r="AN17" s="120">
        <v>2.0</v>
      </c>
      <c r="AO17" s="120">
        <v>3.0</v>
      </c>
      <c r="AP17" s="120">
        <v>1.0</v>
      </c>
      <c r="AQ17" s="120" t="s">
        <v>39</v>
      </c>
    </row>
    <row r="18" ht="22.5" customHeight="1">
      <c r="A18" s="121">
        <v>46091.349883622686</v>
      </c>
      <c r="B18" s="120" t="s">
        <v>352</v>
      </c>
      <c r="C18" s="120" t="s">
        <v>13</v>
      </c>
      <c r="D18" s="120">
        <v>1.0</v>
      </c>
      <c r="E18" s="120">
        <v>0.0</v>
      </c>
      <c r="F18" s="120">
        <v>1.0</v>
      </c>
      <c r="G18" s="120">
        <v>1.0</v>
      </c>
      <c r="H18" s="120" t="s">
        <v>44</v>
      </c>
      <c r="I18" s="120">
        <v>0.0</v>
      </c>
      <c r="J18" s="120">
        <v>1.0</v>
      </c>
      <c r="K18" s="120">
        <v>2.0</v>
      </c>
      <c r="L18" s="120">
        <v>0.0</v>
      </c>
      <c r="M18" s="120" t="s">
        <v>46</v>
      </c>
      <c r="N18" s="120">
        <v>1.0</v>
      </c>
      <c r="O18" s="120">
        <v>1.0</v>
      </c>
      <c r="P18" s="120">
        <v>2.0</v>
      </c>
      <c r="Q18" s="120">
        <v>0.0</v>
      </c>
      <c r="R18" s="120" t="s">
        <v>49</v>
      </c>
      <c r="S18" s="120">
        <v>0.0</v>
      </c>
      <c r="T18" s="120">
        <v>2.0</v>
      </c>
      <c r="U18" s="120">
        <v>2.0</v>
      </c>
      <c r="V18" s="120">
        <v>0.0</v>
      </c>
      <c r="W18" s="120" t="s">
        <v>45</v>
      </c>
      <c r="X18" s="120">
        <v>0.0</v>
      </c>
      <c r="Y18" s="120">
        <v>1.0</v>
      </c>
      <c r="Z18" s="120">
        <v>2.0</v>
      </c>
      <c r="AA18" s="120">
        <v>0.0</v>
      </c>
      <c r="AB18" s="120" t="s">
        <v>52</v>
      </c>
      <c r="AC18" s="120">
        <v>2.0</v>
      </c>
      <c r="AD18" s="120">
        <v>0.0</v>
      </c>
      <c r="AE18" s="120">
        <v>1.0</v>
      </c>
      <c r="AF18" s="120">
        <v>1.0</v>
      </c>
      <c r="AG18" s="120" t="s">
        <v>56</v>
      </c>
      <c r="AH18" s="120">
        <v>1.0</v>
      </c>
      <c r="AI18" s="120">
        <v>0.0</v>
      </c>
      <c r="AJ18" s="120">
        <v>3.0</v>
      </c>
      <c r="AK18" s="120">
        <v>1.0</v>
      </c>
      <c r="AL18" s="120" t="s">
        <v>51</v>
      </c>
      <c r="AM18" s="120">
        <v>1.0</v>
      </c>
      <c r="AN18" s="120">
        <v>2.0</v>
      </c>
      <c r="AO18" s="120">
        <v>2.0</v>
      </c>
      <c r="AP18" s="120">
        <v>0.0</v>
      </c>
      <c r="AQ18" s="120" t="s">
        <v>39</v>
      </c>
    </row>
    <row r="19" ht="22.5" customHeight="1">
      <c r="A19" s="121">
        <v>46091.381367407404</v>
      </c>
      <c r="B19" s="120" t="s">
        <v>358</v>
      </c>
      <c r="C19" s="120" t="s">
        <v>3</v>
      </c>
      <c r="D19" s="120">
        <v>2.0</v>
      </c>
      <c r="E19" s="120">
        <v>3.0</v>
      </c>
      <c r="F19" s="120">
        <v>2.0</v>
      </c>
      <c r="G19" s="120">
        <v>1.0</v>
      </c>
      <c r="H19" s="120" t="s">
        <v>55</v>
      </c>
      <c r="I19" s="120">
        <v>1.0</v>
      </c>
      <c r="J19" s="120">
        <v>3.0</v>
      </c>
      <c r="K19" s="120">
        <v>2.0</v>
      </c>
      <c r="L19" s="120">
        <v>0.0</v>
      </c>
      <c r="M19" s="120" t="s">
        <v>46</v>
      </c>
      <c r="N19" s="120">
        <v>3.0</v>
      </c>
      <c r="O19" s="120">
        <v>1.0</v>
      </c>
      <c r="P19" s="120">
        <v>2.0</v>
      </c>
      <c r="Q19" s="120">
        <v>3.0</v>
      </c>
      <c r="R19" s="120" t="s">
        <v>40</v>
      </c>
      <c r="S19" s="120">
        <v>1.0</v>
      </c>
      <c r="T19" s="120">
        <v>0.0</v>
      </c>
      <c r="U19" s="120">
        <v>3.0</v>
      </c>
      <c r="V19" s="120">
        <v>1.0</v>
      </c>
      <c r="W19" s="120" t="s">
        <v>45</v>
      </c>
      <c r="X19" s="120">
        <v>0.0</v>
      </c>
      <c r="Y19" s="120">
        <v>1.0</v>
      </c>
      <c r="Z19" s="120">
        <v>2.0</v>
      </c>
      <c r="AA19" s="120">
        <v>0.0</v>
      </c>
      <c r="AB19" s="120" t="s">
        <v>52</v>
      </c>
      <c r="AC19" s="120">
        <v>2.0</v>
      </c>
      <c r="AD19" s="120">
        <v>0.0</v>
      </c>
      <c r="AE19" s="120">
        <v>1.0</v>
      </c>
      <c r="AF19" s="120">
        <v>2.0</v>
      </c>
      <c r="AG19" s="120" t="s">
        <v>56</v>
      </c>
      <c r="AH19" s="120">
        <v>2.0</v>
      </c>
      <c r="AI19" s="120">
        <v>0.0</v>
      </c>
      <c r="AJ19" s="120">
        <v>1.0</v>
      </c>
      <c r="AK19" s="120">
        <v>2.0</v>
      </c>
      <c r="AL19" s="120" t="s">
        <v>77</v>
      </c>
      <c r="AM19" s="120">
        <v>0.0</v>
      </c>
      <c r="AN19" s="120">
        <v>1.0</v>
      </c>
      <c r="AO19" s="120">
        <v>2.0</v>
      </c>
      <c r="AP19" s="120">
        <v>0.0</v>
      </c>
      <c r="AQ19" s="120" t="s">
        <v>39</v>
      </c>
    </row>
    <row r="20" ht="22.5" customHeight="1">
      <c r="A20" s="121">
        <v>46091.38956776621</v>
      </c>
      <c r="B20" s="120" t="s">
        <v>348</v>
      </c>
      <c r="C20" s="120" t="s">
        <v>18</v>
      </c>
      <c r="D20" s="120">
        <v>2.0</v>
      </c>
      <c r="E20" s="120">
        <v>1.0</v>
      </c>
      <c r="F20" s="120">
        <v>2.0</v>
      </c>
      <c r="G20" s="120">
        <v>2.0</v>
      </c>
      <c r="H20" s="120" t="s">
        <v>44</v>
      </c>
      <c r="I20" s="120">
        <v>1.0</v>
      </c>
      <c r="J20" s="120">
        <v>2.0</v>
      </c>
      <c r="K20" s="120">
        <v>3.0</v>
      </c>
      <c r="L20" s="120">
        <v>0.0</v>
      </c>
      <c r="M20" s="120" t="s">
        <v>46</v>
      </c>
      <c r="N20" s="120">
        <v>1.0</v>
      </c>
      <c r="O20" s="120">
        <v>2.0</v>
      </c>
      <c r="P20" s="120">
        <v>2.0</v>
      </c>
      <c r="Q20" s="120">
        <v>0.0</v>
      </c>
      <c r="R20" s="120" t="s">
        <v>49</v>
      </c>
      <c r="S20" s="120">
        <v>1.0</v>
      </c>
      <c r="T20" s="120">
        <v>2.0</v>
      </c>
      <c r="U20" s="120">
        <v>3.0</v>
      </c>
      <c r="V20" s="120">
        <v>1.0</v>
      </c>
      <c r="W20" s="120" t="s">
        <v>45</v>
      </c>
      <c r="X20" s="120">
        <v>2.0</v>
      </c>
      <c r="Y20" s="120">
        <v>1.0</v>
      </c>
      <c r="Z20" s="120">
        <v>3.0</v>
      </c>
      <c r="AA20" s="120">
        <v>1.0</v>
      </c>
      <c r="AB20" s="120" t="s">
        <v>52</v>
      </c>
      <c r="AC20" s="120">
        <v>2.0</v>
      </c>
      <c r="AD20" s="120">
        <v>0.0</v>
      </c>
      <c r="AE20" s="120">
        <v>1.0</v>
      </c>
      <c r="AF20" s="120">
        <v>1.0</v>
      </c>
      <c r="AG20" s="120" t="s">
        <v>56</v>
      </c>
      <c r="AH20" s="120">
        <v>2.0</v>
      </c>
      <c r="AI20" s="120">
        <v>0.0</v>
      </c>
      <c r="AJ20" s="120">
        <v>2.0</v>
      </c>
      <c r="AK20" s="120">
        <v>2.0</v>
      </c>
      <c r="AL20" s="120" t="s">
        <v>77</v>
      </c>
      <c r="AM20" s="120">
        <v>0.0</v>
      </c>
      <c r="AN20" s="120">
        <v>2.0</v>
      </c>
      <c r="AO20" s="120">
        <v>3.0</v>
      </c>
      <c r="AP20" s="120">
        <v>0.0</v>
      </c>
      <c r="AQ20" s="120" t="s">
        <v>39</v>
      </c>
    </row>
    <row r="21" ht="22.5" customHeight="1">
      <c r="A21" s="121">
        <v>46091.39527864583</v>
      </c>
      <c r="B21" s="120" t="s">
        <v>325</v>
      </c>
      <c r="C21" s="120" t="s">
        <v>16</v>
      </c>
      <c r="D21" s="120">
        <v>2.0</v>
      </c>
      <c r="E21" s="120">
        <v>1.0</v>
      </c>
      <c r="F21" s="120">
        <v>2.0</v>
      </c>
      <c r="G21" s="120">
        <v>0.0</v>
      </c>
      <c r="H21" s="120" t="s">
        <v>55</v>
      </c>
      <c r="I21" s="120">
        <v>1.0</v>
      </c>
      <c r="J21" s="120">
        <v>1.0</v>
      </c>
      <c r="K21" s="120">
        <v>2.0</v>
      </c>
      <c r="L21" s="120">
        <v>1.0</v>
      </c>
      <c r="M21" s="120" t="s">
        <v>46</v>
      </c>
      <c r="N21" s="120">
        <v>2.0</v>
      </c>
      <c r="O21" s="120">
        <v>2.0</v>
      </c>
      <c r="P21" s="120">
        <v>3.0</v>
      </c>
      <c r="Q21" s="120">
        <v>1.0</v>
      </c>
      <c r="R21" s="120" t="s">
        <v>49</v>
      </c>
      <c r="S21" s="120">
        <v>0.0</v>
      </c>
      <c r="T21" s="120">
        <v>2.0</v>
      </c>
      <c r="U21" s="120">
        <v>2.0</v>
      </c>
      <c r="V21" s="120">
        <v>0.0</v>
      </c>
      <c r="W21" s="120" t="s">
        <v>45</v>
      </c>
      <c r="X21" s="120">
        <v>1.0</v>
      </c>
      <c r="Y21" s="120">
        <v>1.0</v>
      </c>
      <c r="Z21" s="120">
        <v>2.0</v>
      </c>
      <c r="AA21" s="120">
        <v>0.0</v>
      </c>
      <c r="AB21" s="120" t="s">
        <v>52</v>
      </c>
      <c r="AC21" s="120">
        <v>2.0</v>
      </c>
      <c r="AD21" s="120">
        <v>0.0</v>
      </c>
      <c r="AE21" s="120">
        <v>1.0</v>
      </c>
      <c r="AF21" s="120">
        <v>2.0</v>
      </c>
      <c r="AG21" s="120" t="s">
        <v>56</v>
      </c>
      <c r="AH21" s="120">
        <v>2.0</v>
      </c>
      <c r="AI21" s="120">
        <v>0.0</v>
      </c>
      <c r="AJ21" s="120">
        <v>2.0</v>
      </c>
      <c r="AK21" s="120">
        <v>1.0</v>
      </c>
      <c r="AL21" s="120" t="s">
        <v>77</v>
      </c>
      <c r="AM21" s="120">
        <v>0.0</v>
      </c>
      <c r="AN21" s="120">
        <v>1.0</v>
      </c>
      <c r="AO21" s="120">
        <v>2.0</v>
      </c>
      <c r="AP21" s="120">
        <v>0.0</v>
      </c>
      <c r="AQ21" s="120" t="s">
        <v>39</v>
      </c>
    </row>
    <row r="22" ht="22.5" customHeight="1">
      <c r="A22" s="121">
        <v>46091.3971915625</v>
      </c>
      <c r="B22" s="120" t="s">
        <v>364</v>
      </c>
      <c r="C22" s="120" t="s">
        <v>19</v>
      </c>
      <c r="D22" s="120">
        <v>2.0</v>
      </c>
      <c r="E22" s="120">
        <v>1.0</v>
      </c>
      <c r="F22" s="120">
        <v>1.0</v>
      </c>
      <c r="G22" s="120">
        <v>1.0</v>
      </c>
      <c r="H22" s="120" t="s">
        <v>44</v>
      </c>
      <c r="I22" s="120">
        <v>1.0</v>
      </c>
      <c r="J22" s="120">
        <v>3.0</v>
      </c>
      <c r="K22" s="120">
        <v>2.0</v>
      </c>
      <c r="L22" s="120">
        <v>0.0</v>
      </c>
      <c r="M22" s="120" t="s">
        <v>46</v>
      </c>
      <c r="N22" s="120">
        <v>2.0</v>
      </c>
      <c r="O22" s="120">
        <v>2.0</v>
      </c>
      <c r="P22" s="120">
        <v>2.0</v>
      </c>
      <c r="Q22" s="120">
        <v>1.0</v>
      </c>
      <c r="R22" s="120" t="s">
        <v>49</v>
      </c>
      <c r="S22" s="120">
        <v>1.0</v>
      </c>
      <c r="T22" s="120">
        <v>2.0</v>
      </c>
      <c r="U22" s="120">
        <v>3.0</v>
      </c>
      <c r="V22" s="120">
        <v>1.0</v>
      </c>
      <c r="W22" s="120" t="s">
        <v>45</v>
      </c>
      <c r="X22" s="120">
        <v>2.0</v>
      </c>
      <c r="Y22" s="120">
        <v>1.0</v>
      </c>
      <c r="Z22" s="120">
        <v>1.0</v>
      </c>
      <c r="AA22" s="120">
        <v>1.0</v>
      </c>
      <c r="AB22" s="120" t="s">
        <v>59</v>
      </c>
      <c r="AC22" s="120">
        <v>2.0</v>
      </c>
      <c r="AD22" s="120">
        <v>0.0</v>
      </c>
      <c r="AE22" s="120">
        <v>2.0</v>
      </c>
      <c r="AF22" s="120">
        <v>1.0</v>
      </c>
      <c r="AG22" s="120" t="s">
        <v>56</v>
      </c>
      <c r="AH22" s="120">
        <v>2.0</v>
      </c>
      <c r="AI22" s="120">
        <v>2.0</v>
      </c>
      <c r="AJ22" s="120">
        <v>3.0</v>
      </c>
      <c r="AK22" s="120">
        <v>0.0</v>
      </c>
      <c r="AL22" s="120" t="s">
        <v>51</v>
      </c>
      <c r="AM22" s="120">
        <v>0.0</v>
      </c>
      <c r="AN22" s="120">
        <v>1.0</v>
      </c>
      <c r="AO22" s="120">
        <v>2.0</v>
      </c>
      <c r="AP22" s="120">
        <v>1.0</v>
      </c>
      <c r="AQ22" s="120" t="s">
        <v>39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4" width="24.75"/>
    <col customWidth="1" min="5" max="6" width="18.88"/>
    <col customWidth="1" min="7" max="7" width="25.38"/>
    <col customWidth="1" min="8" max="8" width="18.88"/>
    <col customWidth="1" min="9" max="9" width="19.0"/>
    <col customWidth="1" min="10" max="10" width="24.88"/>
    <col customWidth="1" min="11" max="11" width="24.25"/>
    <col customWidth="1" min="12" max="12" width="19.63"/>
    <col customWidth="1" min="13" max="14" width="18.88"/>
    <col customWidth="1" min="15" max="15" width="24.25"/>
    <col customWidth="1" min="16" max="16" width="23.63"/>
    <col customWidth="1" min="17" max="29" width="18.88"/>
  </cols>
  <sheetData>
    <row r="1" ht="22.5" customHeight="1">
      <c r="A1" s="122" t="s">
        <v>179</v>
      </c>
      <c r="B1" s="122" t="s">
        <v>180</v>
      </c>
      <c r="C1" s="122" t="s">
        <v>181</v>
      </c>
      <c r="D1" s="122" t="s">
        <v>367</v>
      </c>
      <c r="E1" s="122" t="s">
        <v>415</v>
      </c>
      <c r="F1" s="122" t="s">
        <v>407</v>
      </c>
      <c r="G1" s="122" t="s">
        <v>366</v>
      </c>
      <c r="H1" s="122" t="s">
        <v>107</v>
      </c>
      <c r="I1" s="122" t="s">
        <v>376</v>
      </c>
      <c r="J1" s="122" t="s">
        <v>412</v>
      </c>
      <c r="K1" s="122" t="s">
        <v>408</v>
      </c>
      <c r="L1" s="122" t="s">
        <v>375</v>
      </c>
      <c r="M1" s="122" t="s">
        <v>373</v>
      </c>
      <c r="N1" s="122" t="s">
        <v>410</v>
      </c>
      <c r="O1" s="122" t="s">
        <v>390</v>
      </c>
      <c r="P1" s="122" t="s">
        <v>391</v>
      </c>
      <c r="Q1" s="122" t="s">
        <v>414</v>
      </c>
      <c r="R1" s="122" t="s">
        <v>378</v>
      </c>
      <c r="S1" s="122" t="s">
        <v>420</v>
      </c>
      <c r="T1" s="122" t="s">
        <v>421</v>
      </c>
      <c r="U1" s="122" t="s">
        <v>422</v>
      </c>
      <c r="V1" s="122" t="s">
        <v>419</v>
      </c>
      <c r="W1" s="122" t="s">
        <v>383</v>
      </c>
    </row>
    <row r="2" ht="22.5" customHeight="1">
      <c r="A2" s="118">
        <v>46100.523293136575</v>
      </c>
      <c r="B2" s="119" t="s">
        <v>325</v>
      </c>
      <c r="C2" s="119" t="s">
        <v>16</v>
      </c>
      <c r="D2" s="119">
        <v>2.0</v>
      </c>
      <c r="E2" s="119">
        <v>1.0</v>
      </c>
      <c r="F2" s="119">
        <v>3.0</v>
      </c>
      <c r="G2" s="119">
        <v>2.0</v>
      </c>
      <c r="H2" s="119" t="s">
        <v>46</v>
      </c>
      <c r="I2" s="119">
        <v>2.0</v>
      </c>
      <c r="J2" s="119">
        <v>1.0</v>
      </c>
      <c r="K2" s="119">
        <v>3.0</v>
      </c>
      <c r="L2" s="119">
        <v>1.0</v>
      </c>
      <c r="M2" s="119" t="s">
        <v>45</v>
      </c>
      <c r="N2" s="119">
        <v>4.0</v>
      </c>
      <c r="O2" s="119">
        <v>1.0</v>
      </c>
      <c r="P2" s="119">
        <v>2.0</v>
      </c>
      <c r="Q2" s="119">
        <v>2.0</v>
      </c>
      <c r="R2" s="119" t="s">
        <v>52</v>
      </c>
      <c r="S2" s="119">
        <v>1.0</v>
      </c>
      <c r="T2" s="119">
        <v>2.0</v>
      </c>
      <c r="U2" s="119">
        <v>4.0</v>
      </c>
      <c r="V2" s="119">
        <v>0.0</v>
      </c>
      <c r="W2" s="119" t="s">
        <v>39</v>
      </c>
    </row>
    <row r="3" ht="22.5" customHeight="1">
      <c r="A3" s="121">
        <v>46100.56089407408</v>
      </c>
      <c r="B3" s="120" t="s">
        <v>337</v>
      </c>
      <c r="C3" s="120" t="s">
        <v>15</v>
      </c>
      <c r="D3" s="120">
        <v>3.0</v>
      </c>
      <c r="E3" s="120">
        <v>1.0</v>
      </c>
      <c r="F3" s="120">
        <v>1.0</v>
      </c>
      <c r="G3" s="120">
        <v>2.0</v>
      </c>
      <c r="H3" s="120" t="s">
        <v>44</v>
      </c>
      <c r="I3" s="120">
        <v>2.0</v>
      </c>
      <c r="J3" s="120">
        <v>1.0</v>
      </c>
      <c r="K3" s="120">
        <v>1.0</v>
      </c>
      <c r="L3" s="120">
        <v>1.0</v>
      </c>
      <c r="M3" s="120" t="s">
        <v>40</v>
      </c>
      <c r="N3" s="120">
        <v>3.0</v>
      </c>
      <c r="O3" s="120">
        <v>1.0</v>
      </c>
      <c r="P3" s="120">
        <v>1.0</v>
      </c>
      <c r="Q3" s="120">
        <v>2.0</v>
      </c>
      <c r="R3" s="120" t="s">
        <v>52</v>
      </c>
      <c r="S3" s="120">
        <v>2.0</v>
      </c>
      <c r="T3" s="120">
        <v>2.0</v>
      </c>
      <c r="U3" s="120">
        <v>3.0</v>
      </c>
      <c r="V3" s="120">
        <v>1.0</v>
      </c>
      <c r="W3" s="120" t="s">
        <v>39</v>
      </c>
    </row>
    <row r="4" ht="22.5" customHeight="1">
      <c r="A4" s="121">
        <v>46100.569138356484</v>
      </c>
      <c r="B4" s="120" t="s">
        <v>346</v>
      </c>
      <c r="C4" s="120" t="s">
        <v>8</v>
      </c>
      <c r="D4" s="120">
        <v>3.0</v>
      </c>
      <c r="E4" s="120">
        <v>1.0</v>
      </c>
      <c r="F4" s="120">
        <v>2.0</v>
      </c>
      <c r="G4" s="120">
        <v>1.0</v>
      </c>
      <c r="H4" s="120" t="s">
        <v>44</v>
      </c>
      <c r="I4" s="120">
        <v>3.0</v>
      </c>
      <c r="J4" s="120">
        <v>2.0</v>
      </c>
      <c r="K4" s="120">
        <v>2.0</v>
      </c>
      <c r="L4" s="120">
        <v>1.0</v>
      </c>
      <c r="M4" s="120" t="s">
        <v>45</v>
      </c>
      <c r="N4" s="120">
        <v>3.0</v>
      </c>
      <c r="O4" s="120">
        <v>2.0</v>
      </c>
      <c r="P4" s="120">
        <v>3.0</v>
      </c>
      <c r="Q4" s="120">
        <v>3.0</v>
      </c>
      <c r="R4" s="120" t="s">
        <v>52</v>
      </c>
      <c r="S4" s="120">
        <v>2.0</v>
      </c>
      <c r="T4" s="120">
        <v>2.0</v>
      </c>
      <c r="U4" s="120">
        <v>3.0</v>
      </c>
      <c r="V4" s="120">
        <v>1.0</v>
      </c>
      <c r="W4" s="120" t="s">
        <v>39</v>
      </c>
    </row>
    <row r="5" ht="22.5" customHeight="1">
      <c r="A5" s="121">
        <v>46100.6709487037</v>
      </c>
      <c r="B5" s="120" t="s">
        <v>334</v>
      </c>
      <c r="C5" s="120" t="s">
        <v>17</v>
      </c>
      <c r="D5" s="120">
        <v>4.0</v>
      </c>
      <c r="E5" s="120">
        <v>1.0</v>
      </c>
      <c r="F5" s="120">
        <v>3.0</v>
      </c>
      <c r="G5" s="120">
        <v>2.0</v>
      </c>
      <c r="H5" s="120" t="s">
        <v>44</v>
      </c>
      <c r="I5" s="120">
        <v>2.0</v>
      </c>
      <c r="J5" s="120">
        <v>0.0</v>
      </c>
      <c r="K5" s="120">
        <v>1.0</v>
      </c>
      <c r="L5" s="120">
        <v>1.0</v>
      </c>
      <c r="M5" s="120" t="s">
        <v>40</v>
      </c>
      <c r="N5" s="120">
        <v>3.0</v>
      </c>
      <c r="O5" s="120">
        <v>0.0</v>
      </c>
      <c r="P5" s="120">
        <v>2.0</v>
      </c>
      <c r="Q5" s="120">
        <v>4.0</v>
      </c>
      <c r="R5" s="120" t="s">
        <v>52</v>
      </c>
      <c r="S5" s="120">
        <v>1.0</v>
      </c>
      <c r="T5" s="120">
        <v>2.0</v>
      </c>
      <c r="U5" s="120">
        <v>3.0</v>
      </c>
      <c r="V5" s="120">
        <v>0.0</v>
      </c>
      <c r="W5" s="120" t="s">
        <v>39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19" width="18.88"/>
  </cols>
  <sheetData>
    <row r="1" ht="22.5" customHeight="1">
      <c r="A1" s="117" t="s">
        <v>179</v>
      </c>
      <c r="B1" s="117" t="s">
        <v>180</v>
      </c>
      <c r="C1" s="117" t="s">
        <v>181</v>
      </c>
      <c r="D1" s="117" t="s">
        <v>422</v>
      </c>
      <c r="E1" s="117" t="s">
        <v>424</v>
      </c>
      <c r="F1" s="117" t="s">
        <v>425</v>
      </c>
      <c r="G1" s="117" t="s">
        <v>421</v>
      </c>
      <c r="H1" s="117" t="s">
        <v>107</v>
      </c>
      <c r="I1" s="117" t="s">
        <v>410</v>
      </c>
      <c r="J1" s="117" t="s">
        <v>426</v>
      </c>
      <c r="K1" s="117" t="s">
        <v>427</v>
      </c>
      <c r="L1" s="117" t="s">
        <v>414</v>
      </c>
      <c r="M1" s="117" t="s">
        <v>373</v>
      </c>
    </row>
    <row r="2" ht="22.5" customHeight="1">
      <c r="A2" s="118">
        <v>45764.31645012731</v>
      </c>
      <c r="B2" s="119" t="s">
        <v>337</v>
      </c>
      <c r="C2" s="119" t="s">
        <v>15</v>
      </c>
      <c r="D2" s="119">
        <v>3.0</v>
      </c>
      <c r="E2" s="119">
        <v>1.0</v>
      </c>
      <c r="F2" s="119">
        <v>2.0</v>
      </c>
      <c r="G2" s="119">
        <v>2.0</v>
      </c>
      <c r="H2" s="119" t="s">
        <v>39</v>
      </c>
      <c r="I2" s="119">
        <v>2.0</v>
      </c>
      <c r="J2" s="119">
        <v>1.0</v>
      </c>
      <c r="K2" s="119">
        <v>1.0</v>
      </c>
      <c r="L2" s="119">
        <v>2.0</v>
      </c>
      <c r="M2" s="119" t="s">
        <v>52</v>
      </c>
    </row>
    <row r="3" ht="22.5" customHeight="1">
      <c r="A3" s="121">
        <v>45764.31754138889</v>
      </c>
      <c r="B3" s="120" t="s">
        <v>354</v>
      </c>
      <c r="C3" s="120" t="s">
        <v>11</v>
      </c>
      <c r="D3" s="120">
        <v>1.0</v>
      </c>
      <c r="E3" s="120">
        <v>0.0</v>
      </c>
      <c r="F3" s="120">
        <v>0.0</v>
      </c>
      <c r="G3" s="120">
        <v>0.0</v>
      </c>
      <c r="H3" s="120" t="s">
        <v>39</v>
      </c>
      <c r="I3" s="120">
        <v>2.0</v>
      </c>
      <c r="J3" s="120">
        <v>1.0</v>
      </c>
      <c r="K3" s="120">
        <v>2.0</v>
      </c>
      <c r="L3" s="120">
        <v>1.0</v>
      </c>
      <c r="M3" s="120" t="s">
        <v>52</v>
      </c>
    </row>
    <row r="4" ht="22.5" customHeight="1">
      <c r="A4" s="121">
        <v>45771.52845996528</v>
      </c>
      <c r="B4" s="120" t="s">
        <v>345</v>
      </c>
      <c r="C4" s="120" t="s">
        <v>6</v>
      </c>
      <c r="D4" s="120">
        <v>3.0</v>
      </c>
      <c r="E4" s="120">
        <v>1.0</v>
      </c>
      <c r="F4" s="120">
        <v>2.0</v>
      </c>
      <c r="G4" s="120">
        <v>2.0</v>
      </c>
      <c r="H4" s="120" t="s">
        <v>39</v>
      </c>
      <c r="I4" s="120">
        <v>2.0</v>
      </c>
      <c r="J4" s="120">
        <v>1.0</v>
      </c>
      <c r="K4" s="120">
        <v>1.0</v>
      </c>
      <c r="L4" s="120">
        <v>1.0</v>
      </c>
      <c r="M4" s="120" t="s">
        <v>52</v>
      </c>
    </row>
    <row r="5" ht="22.5" customHeight="1">
      <c r="A5" s="121">
        <v>45775.27661357639</v>
      </c>
      <c r="B5" s="120" t="s">
        <v>334</v>
      </c>
      <c r="C5" s="120" t="s">
        <v>17</v>
      </c>
      <c r="D5" s="120">
        <v>2.0</v>
      </c>
      <c r="E5" s="120">
        <v>1.0</v>
      </c>
      <c r="F5" s="120">
        <v>2.0</v>
      </c>
      <c r="G5" s="120">
        <v>0.0</v>
      </c>
      <c r="H5" s="120" t="s">
        <v>138</v>
      </c>
      <c r="I5" s="120">
        <v>3.0</v>
      </c>
      <c r="J5" s="120">
        <v>1.0</v>
      </c>
      <c r="K5" s="120">
        <v>2.0</v>
      </c>
      <c r="L5" s="120">
        <v>2.0</v>
      </c>
      <c r="M5" s="120" t="s">
        <v>52</v>
      </c>
    </row>
    <row r="6" ht="22.5" customHeight="1">
      <c r="A6" s="121">
        <v>45775.40778944445</v>
      </c>
      <c r="B6" s="120" t="s">
        <v>348</v>
      </c>
      <c r="C6" s="120" t="s">
        <v>18</v>
      </c>
      <c r="D6" s="120">
        <v>2.0</v>
      </c>
      <c r="E6" s="120">
        <v>2.0</v>
      </c>
      <c r="F6" s="120">
        <v>2.0</v>
      </c>
      <c r="G6" s="120">
        <v>1.0</v>
      </c>
      <c r="H6" s="120" t="s">
        <v>138</v>
      </c>
      <c r="I6" s="120">
        <v>2.0</v>
      </c>
      <c r="J6" s="120">
        <v>1.0</v>
      </c>
      <c r="K6" s="120">
        <v>1.0</v>
      </c>
      <c r="L6" s="120">
        <v>2.0</v>
      </c>
      <c r="M6" s="120" t="s">
        <v>52</v>
      </c>
    </row>
    <row r="7" ht="22.5" customHeight="1">
      <c r="A7" s="121">
        <v>45775.44772815972</v>
      </c>
      <c r="B7" s="120" t="s">
        <v>346</v>
      </c>
      <c r="C7" s="120" t="s">
        <v>8</v>
      </c>
      <c r="D7" s="120">
        <v>3.0</v>
      </c>
      <c r="E7" s="120">
        <v>1.0</v>
      </c>
      <c r="F7" s="120">
        <v>1.0</v>
      </c>
      <c r="G7" s="120">
        <v>2.0</v>
      </c>
      <c r="H7" s="120" t="s">
        <v>39</v>
      </c>
      <c r="I7" s="120">
        <v>2.0</v>
      </c>
      <c r="J7" s="120">
        <v>1.0</v>
      </c>
      <c r="K7" s="120">
        <v>1.0</v>
      </c>
      <c r="L7" s="120">
        <v>1.0</v>
      </c>
      <c r="M7" s="120" t="s">
        <v>52</v>
      </c>
    </row>
    <row r="8" ht="22.5" customHeight="1">
      <c r="A8" s="121">
        <v>45775.44912582176</v>
      </c>
      <c r="B8" s="120" t="s">
        <v>356</v>
      </c>
      <c r="C8" s="120" t="s">
        <v>14</v>
      </c>
      <c r="D8" s="120">
        <v>1.0</v>
      </c>
      <c r="E8" s="120">
        <v>1.0</v>
      </c>
      <c r="F8" s="120">
        <v>1.0</v>
      </c>
      <c r="G8" s="120">
        <v>2.0</v>
      </c>
      <c r="H8" s="120" t="s">
        <v>39</v>
      </c>
      <c r="I8" s="120">
        <v>4.0</v>
      </c>
      <c r="J8" s="120">
        <v>1.0</v>
      </c>
      <c r="K8" s="120">
        <v>2.0</v>
      </c>
      <c r="L8" s="120">
        <v>2.0</v>
      </c>
      <c r="M8" s="120" t="s">
        <v>52</v>
      </c>
    </row>
    <row r="9" ht="22.5" customHeight="1">
      <c r="A9" s="121">
        <v>45775.44938201389</v>
      </c>
      <c r="B9" s="120" t="s">
        <v>347</v>
      </c>
      <c r="C9" s="120" t="s">
        <v>10</v>
      </c>
      <c r="D9" s="120">
        <v>3.0</v>
      </c>
      <c r="E9" s="120">
        <v>2.0</v>
      </c>
      <c r="F9" s="120">
        <v>3.0</v>
      </c>
      <c r="G9" s="120">
        <v>1.0</v>
      </c>
      <c r="H9" s="120" t="s">
        <v>138</v>
      </c>
      <c r="I9" s="120">
        <v>3.0</v>
      </c>
      <c r="J9" s="120">
        <v>1.0</v>
      </c>
      <c r="K9" s="120">
        <v>2.0</v>
      </c>
      <c r="L9" s="120">
        <v>1.0</v>
      </c>
      <c r="M9" s="120" t="s">
        <v>52</v>
      </c>
    </row>
    <row r="10" ht="22.5" customHeight="1">
      <c r="A10" s="121">
        <v>45775.45789976852</v>
      </c>
      <c r="B10" s="120" t="s">
        <v>340</v>
      </c>
      <c r="C10" s="120" t="s">
        <v>9</v>
      </c>
      <c r="D10" s="120">
        <v>1.0</v>
      </c>
      <c r="E10" s="120">
        <v>1.0</v>
      </c>
      <c r="F10" s="120">
        <v>3.0</v>
      </c>
      <c r="G10" s="120">
        <v>1.0</v>
      </c>
      <c r="H10" s="120" t="s">
        <v>138</v>
      </c>
      <c r="I10" s="120">
        <v>2.0</v>
      </c>
      <c r="J10" s="120">
        <v>1.0</v>
      </c>
      <c r="K10" s="120">
        <v>1.0</v>
      </c>
      <c r="L10" s="120">
        <v>2.0</v>
      </c>
      <c r="M10" s="120" t="s">
        <v>52</v>
      </c>
    </row>
    <row r="11" ht="22.5" customHeight="1">
      <c r="A11" s="121">
        <v>45775.465500590275</v>
      </c>
      <c r="B11" s="120" t="s">
        <v>325</v>
      </c>
      <c r="C11" s="120" t="s">
        <v>16</v>
      </c>
      <c r="D11" s="120">
        <v>1.0</v>
      </c>
      <c r="E11" s="120">
        <v>2.0</v>
      </c>
      <c r="F11" s="120">
        <v>1.0</v>
      </c>
      <c r="G11" s="120">
        <v>2.0</v>
      </c>
      <c r="H11" s="120" t="s">
        <v>138</v>
      </c>
      <c r="I11" s="120">
        <v>1.0</v>
      </c>
      <c r="J11" s="120">
        <v>2.0</v>
      </c>
      <c r="K11" s="120">
        <v>1.0</v>
      </c>
      <c r="L11" s="120">
        <v>3.0</v>
      </c>
      <c r="M11" s="120" t="s">
        <v>52</v>
      </c>
    </row>
    <row r="12" ht="22.5" customHeight="1">
      <c r="A12" s="121">
        <v>45775.48087190972</v>
      </c>
      <c r="B12" s="120" t="s">
        <v>343</v>
      </c>
      <c r="C12" s="120" t="s">
        <v>5</v>
      </c>
      <c r="D12" s="120">
        <v>2.0</v>
      </c>
      <c r="E12" s="120">
        <v>2.0</v>
      </c>
      <c r="F12" s="120">
        <v>2.0</v>
      </c>
      <c r="G12" s="120">
        <v>2.0</v>
      </c>
      <c r="H12" s="120" t="s">
        <v>138</v>
      </c>
      <c r="I12" s="120">
        <v>3.0</v>
      </c>
      <c r="J12" s="120">
        <v>1.0</v>
      </c>
      <c r="K12" s="120">
        <v>2.0</v>
      </c>
      <c r="L12" s="120">
        <v>1.0</v>
      </c>
      <c r="M12" s="120" t="s">
        <v>52</v>
      </c>
    </row>
    <row r="13" ht="22.5" customHeight="1">
      <c r="A13" s="121">
        <v>45775.60602320602</v>
      </c>
      <c r="B13" s="120" t="s">
        <v>350</v>
      </c>
      <c r="C13" s="120" t="s">
        <v>2</v>
      </c>
      <c r="D13" s="120">
        <v>2.0</v>
      </c>
      <c r="E13" s="120">
        <v>1.0</v>
      </c>
      <c r="F13" s="120">
        <v>1.0</v>
      </c>
      <c r="G13" s="120">
        <v>1.0</v>
      </c>
      <c r="H13" s="120" t="s">
        <v>39</v>
      </c>
      <c r="I13" s="120">
        <v>1.0</v>
      </c>
      <c r="J13" s="120">
        <v>1.0</v>
      </c>
      <c r="K13" s="120">
        <v>2.0</v>
      </c>
      <c r="L13" s="120">
        <v>1.0</v>
      </c>
      <c r="M13" s="120" t="s">
        <v>139</v>
      </c>
    </row>
    <row r="14" ht="22.5" customHeight="1">
      <c r="A14" s="121">
        <v>45775.79691866898</v>
      </c>
      <c r="B14" s="120" t="s">
        <v>352</v>
      </c>
      <c r="C14" s="120" t="s">
        <v>13</v>
      </c>
      <c r="D14" s="120">
        <v>2.0</v>
      </c>
      <c r="E14" s="120">
        <v>0.0</v>
      </c>
      <c r="F14" s="120">
        <v>1.0</v>
      </c>
      <c r="G14" s="120">
        <v>0.0</v>
      </c>
      <c r="H14" s="120" t="s">
        <v>39</v>
      </c>
      <c r="I14" s="120">
        <v>2.0</v>
      </c>
      <c r="J14" s="120">
        <v>0.0</v>
      </c>
      <c r="K14" s="120">
        <v>1.0</v>
      </c>
      <c r="L14" s="120">
        <v>1.0</v>
      </c>
      <c r="M14" s="120" t="s">
        <v>52</v>
      </c>
    </row>
    <row r="15" ht="22.5" customHeight="1">
      <c r="A15" s="121">
        <v>45776.187118657406</v>
      </c>
      <c r="B15" s="120" t="s">
        <v>331</v>
      </c>
      <c r="C15" s="120" t="s">
        <v>21</v>
      </c>
      <c r="D15" s="120">
        <v>3.0</v>
      </c>
      <c r="E15" s="120">
        <v>1.0</v>
      </c>
      <c r="F15" s="120">
        <v>2.0</v>
      </c>
      <c r="G15" s="120">
        <v>2.0</v>
      </c>
      <c r="H15" s="120" t="s">
        <v>39</v>
      </c>
      <c r="I15" s="120">
        <v>1.0</v>
      </c>
      <c r="J15" s="120">
        <v>1.0</v>
      </c>
      <c r="K15" s="120">
        <v>2.0</v>
      </c>
      <c r="L15" s="120">
        <v>1.0</v>
      </c>
      <c r="M15" s="120" t="s">
        <v>139</v>
      </c>
    </row>
    <row r="16" ht="22.5" customHeight="1">
      <c r="A16" s="121">
        <v>45776.25669537037</v>
      </c>
      <c r="B16" s="120" t="s">
        <v>359</v>
      </c>
      <c r="C16" s="120" t="s">
        <v>12</v>
      </c>
      <c r="D16" s="120">
        <v>2.0</v>
      </c>
      <c r="E16" s="120">
        <v>0.0</v>
      </c>
      <c r="F16" s="120">
        <v>1.0</v>
      </c>
      <c r="G16" s="120">
        <v>1.0</v>
      </c>
      <c r="H16" s="120" t="s">
        <v>39</v>
      </c>
      <c r="I16" s="120">
        <v>3.0</v>
      </c>
      <c r="J16" s="120">
        <v>1.0</v>
      </c>
      <c r="K16" s="120">
        <v>2.0</v>
      </c>
      <c r="L16" s="120">
        <v>2.0</v>
      </c>
      <c r="M16" s="120" t="s">
        <v>52</v>
      </c>
    </row>
    <row r="17" ht="22.5" customHeight="1">
      <c r="A17" s="121">
        <v>45776.30254121528</v>
      </c>
      <c r="B17" s="120" t="s">
        <v>361</v>
      </c>
      <c r="C17" s="120" t="s">
        <v>4</v>
      </c>
      <c r="D17" s="120">
        <v>1.0</v>
      </c>
      <c r="E17" s="120">
        <v>0.0</v>
      </c>
      <c r="F17" s="120">
        <v>1.0</v>
      </c>
      <c r="G17" s="120">
        <v>1.0</v>
      </c>
      <c r="H17" s="120" t="s">
        <v>39</v>
      </c>
      <c r="I17" s="120">
        <v>2.0</v>
      </c>
      <c r="J17" s="120">
        <v>0.0</v>
      </c>
      <c r="K17" s="120">
        <v>1.0</v>
      </c>
      <c r="L17" s="120">
        <v>1.0</v>
      </c>
      <c r="M17" s="120" t="s">
        <v>52</v>
      </c>
    </row>
    <row r="18" ht="22.5" customHeight="1">
      <c r="A18" s="121">
        <v>45776.30429637732</v>
      </c>
      <c r="B18" s="120" t="s">
        <v>342</v>
      </c>
      <c r="C18" s="120" t="s">
        <v>7</v>
      </c>
      <c r="D18" s="120">
        <v>2.0</v>
      </c>
      <c r="E18" s="120">
        <v>2.0</v>
      </c>
      <c r="F18" s="120">
        <v>2.0</v>
      </c>
      <c r="G18" s="120">
        <v>3.0</v>
      </c>
      <c r="H18" s="120" t="s">
        <v>39</v>
      </c>
      <c r="I18" s="120">
        <v>3.0</v>
      </c>
      <c r="J18" s="120">
        <v>1.0</v>
      </c>
      <c r="K18" s="120">
        <v>3.0</v>
      </c>
      <c r="L18" s="120">
        <v>3.0</v>
      </c>
      <c r="M18" s="120" t="s">
        <v>52</v>
      </c>
    </row>
    <row r="19" ht="22.5" customHeight="1">
      <c r="A19" s="121">
        <v>45776.30482189815</v>
      </c>
      <c r="B19" s="120" t="s">
        <v>428</v>
      </c>
      <c r="C19" s="120" t="s">
        <v>3</v>
      </c>
      <c r="D19" s="120">
        <v>3.0</v>
      </c>
      <c r="E19" s="120">
        <v>2.0</v>
      </c>
      <c r="F19" s="120">
        <v>3.0</v>
      </c>
      <c r="G19" s="120">
        <v>1.0</v>
      </c>
      <c r="H19" s="120" t="s">
        <v>138</v>
      </c>
      <c r="I19" s="120">
        <v>3.0</v>
      </c>
      <c r="J19" s="120">
        <v>0.0</v>
      </c>
      <c r="K19" s="120">
        <v>1.0</v>
      </c>
      <c r="L19" s="120">
        <v>2.0</v>
      </c>
      <c r="M19" s="120" t="s">
        <v>52</v>
      </c>
    </row>
    <row r="20" ht="22.5" customHeight="1">
      <c r="A20" s="121">
        <v>45776.36402365741</v>
      </c>
      <c r="B20" s="120" t="s">
        <v>363</v>
      </c>
      <c r="C20" s="120" t="s">
        <v>20</v>
      </c>
      <c r="D20" s="120">
        <v>3.0</v>
      </c>
      <c r="E20" s="120">
        <v>0.0</v>
      </c>
      <c r="F20" s="120">
        <v>2.0</v>
      </c>
      <c r="G20" s="120">
        <v>2.0</v>
      </c>
      <c r="H20" s="120" t="s">
        <v>39</v>
      </c>
      <c r="I20" s="120">
        <v>3.0</v>
      </c>
      <c r="J20" s="120">
        <v>1.0</v>
      </c>
      <c r="K20" s="120">
        <v>2.0</v>
      </c>
      <c r="L20" s="120">
        <v>1.0</v>
      </c>
      <c r="M20" s="120" t="s">
        <v>52</v>
      </c>
    </row>
    <row r="21" ht="22.5" customHeight="1">
      <c r="A21" s="121">
        <v>45776.42249034722</v>
      </c>
      <c r="B21" s="120" t="s">
        <v>364</v>
      </c>
      <c r="C21" s="120" t="s">
        <v>19</v>
      </c>
      <c r="D21" s="120">
        <v>2.0</v>
      </c>
      <c r="E21" s="120">
        <v>1.0</v>
      </c>
      <c r="F21" s="120">
        <v>2.0</v>
      </c>
      <c r="G21" s="120">
        <v>1.0</v>
      </c>
      <c r="H21" s="120" t="s">
        <v>39</v>
      </c>
      <c r="I21" s="120">
        <v>3.0</v>
      </c>
      <c r="J21" s="120">
        <v>1.0</v>
      </c>
      <c r="K21" s="120">
        <v>1.0</v>
      </c>
      <c r="L21" s="120">
        <v>1.0</v>
      </c>
      <c r="M21" s="120" t="s">
        <v>52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20.25"/>
    <col customWidth="1" min="4" max="5" width="18.88"/>
    <col customWidth="1" min="6" max="6" width="22.5"/>
    <col customWidth="1" min="7" max="12" width="18.88"/>
  </cols>
  <sheetData>
    <row r="1" ht="22.5" customHeight="1">
      <c r="A1" s="117" t="s">
        <v>179</v>
      </c>
      <c r="B1" s="117" t="s">
        <v>180</v>
      </c>
      <c r="C1" s="117" t="s">
        <v>181</v>
      </c>
      <c r="D1" s="117" t="s">
        <v>138</v>
      </c>
      <c r="E1" s="117" t="s">
        <v>139</v>
      </c>
      <c r="F1" s="117" t="s">
        <v>429</v>
      </c>
    </row>
    <row r="2" ht="22.5" customHeight="1">
      <c r="A2" s="118">
        <v>45803.60566075231</v>
      </c>
      <c r="B2" s="119" t="s">
        <v>337</v>
      </c>
      <c r="C2" s="119" t="s">
        <v>15</v>
      </c>
      <c r="D2" s="119">
        <v>1.0</v>
      </c>
      <c r="E2" s="119">
        <v>2.0</v>
      </c>
      <c r="F2" s="119" t="s">
        <v>139</v>
      </c>
    </row>
    <row r="3" ht="22.5" customHeight="1">
      <c r="A3" s="121">
        <v>45803.624349618054</v>
      </c>
      <c r="B3" s="120" t="s">
        <v>334</v>
      </c>
      <c r="C3" s="120" t="s">
        <v>17</v>
      </c>
      <c r="D3" s="120">
        <v>2.0</v>
      </c>
      <c r="E3" s="120">
        <v>3.0</v>
      </c>
      <c r="F3" s="120" t="s">
        <v>139</v>
      </c>
    </row>
    <row r="4" ht="22.5" customHeight="1">
      <c r="A4" s="121">
        <v>45806.828009282406</v>
      </c>
      <c r="B4" s="120" t="s">
        <v>345</v>
      </c>
      <c r="C4" s="120" t="s">
        <v>6</v>
      </c>
      <c r="D4" s="120">
        <v>1.0</v>
      </c>
      <c r="E4" s="120">
        <v>3.0</v>
      </c>
      <c r="F4" s="120" t="s">
        <v>139</v>
      </c>
    </row>
    <row r="5" ht="22.5" customHeight="1">
      <c r="A5" s="121">
        <v>45807.317613506944</v>
      </c>
      <c r="B5" s="120" t="s">
        <v>346</v>
      </c>
      <c r="C5" s="120" t="s">
        <v>8</v>
      </c>
      <c r="D5" s="120">
        <v>3.0</v>
      </c>
      <c r="E5" s="120">
        <v>2.0</v>
      </c>
      <c r="F5" s="120" t="s">
        <v>138</v>
      </c>
    </row>
    <row r="6" ht="22.5" customHeight="1">
      <c r="A6" s="121">
        <v>45807.360177939816</v>
      </c>
      <c r="B6" s="120" t="s">
        <v>342</v>
      </c>
      <c r="C6" s="120" t="s">
        <v>7</v>
      </c>
      <c r="D6" s="120">
        <v>2.0</v>
      </c>
      <c r="E6" s="120">
        <v>1.0</v>
      </c>
      <c r="F6" s="120" t="s">
        <v>138</v>
      </c>
    </row>
    <row r="7" ht="22.5" customHeight="1">
      <c r="A7" s="121">
        <v>45807.46807702546</v>
      </c>
      <c r="B7" s="120" t="s">
        <v>359</v>
      </c>
      <c r="C7" s="120" t="s">
        <v>12</v>
      </c>
      <c r="D7" s="120">
        <v>2.0</v>
      </c>
      <c r="E7" s="120">
        <v>1.0</v>
      </c>
      <c r="F7" s="120" t="s">
        <v>138</v>
      </c>
    </row>
    <row r="8" ht="22.5" customHeight="1">
      <c r="A8" s="121">
        <v>45807.59637737268</v>
      </c>
      <c r="B8" s="120" t="s">
        <v>356</v>
      </c>
      <c r="C8" s="120" t="s">
        <v>14</v>
      </c>
      <c r="D8" s="120">
        <v>0.0</v>
      </c>
      <c r="E8" s="120">
        <v>1.0</v>
      </c>
      <c r="F8" s="120" t="s">
        <v>139</v>
      </c>
    </row>
    <row r="9" ht="22.5" customHeight="1">
      <c r="A9" s="121">
        <v>45807.616940416665</v>
      </c>
      <c r="B9" s="120" t="s">
        <v>352</v>
      </c>
      <c r="C9" s="120" t="s">
        <v>13</v>
      </c>
      <c r="D9" s="120">
        <v>1.0</v>
      </c>
      <c r="E9" s="120">
        <v>2.0</v>
      </c>
      <c r="F9" s="120" t="s">
        <v>139</v>
      </c>
    </row>
    <row r="10" ht="22.5" customHeight="1">
      <c r="A10" s="121">
        <v>45808.18973355324</v>
      </c>
      <c r="B10" s="120" t="s">
        <v>350</v>
      </c>
      <c r="C10" s="120" t="s">
        <v>2</v>
      </c>
      <c r="D10" s="120">
        <v>0.0</v>
      </c>
      <c r="E10" s="120">
        <v>1.0</v>
      </c>
      <c r="F10" s="120" t="s">
        <v>139</v>
      </c>
    </row>
    <row r="11" ht="22.5" customHeight="1">
      <c r="A11" s="121">
        <v>45808.232686724536</v>
      </c>
      <c r="B11" s="120" t="s">
        <v>343</v>
      </c>
      <c r="C11" s="120" t="s">
        <v>5</v>
      </c>
      <c r="D11" s="120">
        <v>1.0</v>
      </c>
      <c r="E11" s="120">
        <v>2.0</v>
      </c>
      <c r="F11" s="120" t="s">
        <v>139</v>
      </c>
    </row>
    <row r="12" ht="22.5" customHeight="1">
      <c r="A12" s="121">
        <v>45808.257986979166</v>
      </c>
      <c r="B12" s="120" t="s">
        <v>411</v>
      </c>
      <c r="C12" s="120" t="s">
        <v>21</v>
      </c>
      <c r="D12" s="120">
        <v>1.0</v>
      </c>
      <c r="E12" s="120">
        <v>3.0</v>
      </c>
      <c r="F12" s="120" t="s">
        <v>139</v>
      </c>
    </row>
    <row r="13" ht="22.5" customHeight="1">
      <c r="A13" s="121">
        <v>45808.35869649306</v>
      </c>
      <c r="B13" s="120" t="s">
        <v>348</v>
      </c>
      <c r="C13" s="120" t="s">
        <v>18</v>
      </c>
      <c r="D13" s="120">
        <v>1.0</v>
      </c>
      <c r="E13" s="120">
        <v>0.0</v>
      </c>
      <c r="F13" s="120" t="s">
        <v>138</v>
      </c>
    </row>
    <row r="14" ht="22.5" customHeight="1">
      <c r="A14" s="121">
        <v>45808.37240767361</v>
      </c>
      <c r="B14" s="120" t="s">
        <v>361</v>
      </c>
      <c r="C14" s="120" t="s">
        <v>4</v>
      </c>
      <c r="D14" s="120">
        <v>3.0</v>
      </c>
      <c r="E14" s="120">
        <v>0.0</v>
      </c>
      <c r="F14" s="120" t="s">
        <v>138</v>
      </c>
    </row>
    <row r="15" ht="22.5" customHeight="1">
      <c r="A15" s="121">
        <v>45808.38107790509</v>
      </c>
      <c r="B15" s="120" t="s">
        <v>347</v>
      </c>
      <c r="C15" s="120" t="s">
        <v>10</v>
      </c>
      <c r="D15" s="120">
        <v>2.0</v>
      </c>
      <c r="E15" s="120">
        <v>1.0</v>
      </c>
      <c r="F15" s="120" t="s">
        <v>138</v>
      </c>
    </row>
    <row r="16" ht="22.5" customHeight="1">
      <c r="A16" s="121">
        <v>45808.3885316088</v>
      </c>
      <c r="B16" s="120" t="s">
        <v>358</v>
      </c>
      <c r="C16" s="120" t="s">
        <v>3</v>
      </c>
      <c r="D16" s="120">
        <v>2.0</v>
      </c>
      <c r="E16" s="120">
        <v>1.0</v>
      </c>
      <c r="F16" s="120" t="s">
        <v>138</v>
      </c>
    </row>
    <row r="17" ht="22.5" customHeight="1">
      <c r="A17" s="121">
        <v>45808.42188851852</v>
      </c>
      <c r="B17" s="120" t="s">
        <v>354</v>
      </c>
      <c r="C17" s="120" t="s">
        <v>11</v>
      </c>
      <c r="D17" s="120">
        <v>3.0</v>
      </c>
      <c r="E17" s="120">
        <v>2.0</v>
      </c>
      <c r="F17" s="120" t="s">
        <v>138</v>
      </c>
    </row>
    <row r="18" ht="22.5" customHeight="1">
      <c r="A18" s="121">
        <v>45808.463565659724</v>
      </c>
      <c r="B18" s="120" t="s">
        <v>340</v>
      </c>
      <c r="C18" s="120" t="s">
        <v>9</v>
      </c>
      <c r="D18" s="120">
        <v>2.0</v>
      </c>
      <c r="E18" s="120">
        <v>1.0</v>
      </c>
      <c r="F18" s="120" t="s">
        <v>138</v>
      </c>
    </row>
    <row r="19" ht="22.5" customHeight="1">
      <c r="A19" s="121">
        <v>45808.47443106482</v>
      </c>
      <c r="B19" s="120" t="s">
        <v>363</v>
      </c>
      <c r="C19" s="120" t="s">
        <v>20</v>
      </c>
      <c r="D19" s="120">
        <v>3.0</v>
      </c>
      <c r="E19" s="120">
        <v>2.0</v>
      </c>
      <c r="F19" s="120" t="s">
        <v>138</v>
      </c>
    </row>
    <row r="20" ht="22.5" customHeight="1">
      <c r="A20" s="121">
        <v>45808.47929387732</v>
      </c>
      <c r="B20" s="120" t="s">
        <v>364</v>
      </c>
      <c r="C20" s="120" t="s">
        <v>19</v>
      </c>
      <c r="D20" s="120">
        <v>3.0</v>
      </c>
      <c r="E20" s="120">
        <v>1.0</v>
      </c>
      <c r="F20" s="120" t="s">
        <v>138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5.0"/>
    <col customWidth="1" min="3" max="3" width="12.63"/>
    <col customWidth="1" min="4" max="4" width="13.0"/>
    <col customWidth="1" min="5" max="5" width="1.25"/>
    <col customWidth="1" min="6" max="6" width="11.13"/>
    <col customWidth="1" min="7" max="7" width="15.13"/>
    <col customWidth="1" min="8" max="9" width="10.38"/>
    <col customWidth="1" min="10" max="10" width="1.88"/>
    <col customWidth="1" min="11" max="11" width="11.13"/>
    <col customWidth="1" min="12" max="12" width="15.13"/>
    <col customWidth="1" min="13" max="13" width="1.88"/>
    <col customWidth="1" min="14" max="14" width="11.13"/>
    <col customWidth="1" min="15" max="15" width="15.13"/>
    <col customWidth="1" min="16" max="16" width="1.63"/>
    <col customWidth="1" min="17" max="17" width="11.13"/>
    <col customWidth="1" min="18" max="18" width="15.13"/>
    <col customWidth="1" min="19" max="19" width="1.63"/>
    <col customWidth="1" min="20" max="20" width="14.0"/>
    <col customWidth="1" min="21" max="26" width="7.63"/>
  </cols>
  <sheetData>
    <row r="1" ht="12.75" customHeight="1">
      <c r="C1" s="1"/>
      <c r="D1" s="1"/>
      <c r="E1" s="1"/>
      <c r="J1" s="111"/>
      <c r="M1" s="111"/>
      <c r="P1" s="111"/>
      <c r="S1" s="111"/>
    </row>
    <row r="2" ht="12.75" customHeight="1">
      <c r="C2" s="128" t="s">
        <v>430</v>
      </c>
      <c r="D2" s="129"/>
      <c r="E2" s="1"/>
      <c r="F2" s="128" t="s">
        <v>162</v>
      </c>
      <c r="G2" s="129"/>
      <c r="H2" s="129"/>
      <c r="I2" s="129"/>
      <c r="J2" s="111"/>
      <c r="M2" s="111"/>
      <c r="P2" s="111"/>
      <c r="S2" s="111"/>
    </row>
    <row r="3" ht="12.75" customHeight="1">
      <c r="B3" s="45" t="s">
        <v>159</v>
      </c>
      <c r="C3" s="45" t="s">
        <v>431</v>
      </c>
      <c r="D3" s="63" t="s">
        <v>432</v>
      </c>
      <c r="E3" s="2"/>
      <c r="F3" s="130" t="s">
        <v>433</v>
      </c>
      <c r="G3" s="45" t="s">
        <v>434</v>
      </c>
      <c r="H3" s="45" t="s">
        <v>435</v>
      </c>
      <c r="I3" s="63" t="s">
        <v>436</v>
      </c>
      <c r="J3" s="7"/>
      <c r="K3" s="130" t="s">
        <v>437</v>
      </c>
      <c r="L3" s="63" t="s">
        <v>438</v>
      </c>
      <c r="M3" s="7"/>
      <c r="N3" s="130" t="s">
        <v>439</v>
      </c>
      <c r="O3" s="63" t="s">
        <v>440</v>
      </c>
      <c r="P3" s="7"/>
      <c r="Q3" s="130" t="s">
        <v>441</v>
      </c>
      <c r="R3" s="63" t="s">
        <v>442</v>
      </c>
      <c r="S3" s="7"/>
      <c r="T3" s="130" t="s">
        <v>443</v>
      </c>
    </row>
    <row r="4" ht="12.75" customHeight="1">
      <c r="B4" s="45" t="s">
        <v>9</v>
      </c>
      <c r="C4" s="131">
        <f>SUM('cálculo'!AE7:'cálculo'!AE150)</f>
        <v>68</v>
      </c>
      <c r="D4" s="131">
        <f>SUM('cálculo'!AE151:'cálculo'!AE166)</f>
        <v>25</v>
      </c>
      <c r="E4" s="1"/>
      <c r="F4" s="131">
        <f>OITAVAS!AR3+OITAVAS!AR27</f>
        <v>10</v>
      </c>
      <c r="G4" s="9">
        <f>+COUNTIF(OITAVAS!$C27:$AP27,Pesos!$N$6)+COUNTIF(OITAVAS!$C3:$AP3,Pesos!$N$6)+COUNTIF(OITAVAS!$C27:$AP27,Pesos!$N$6*2)+COUNTIF(OITAVAS!$C3:$AP3,Pesos!$N$6*2)</f>
        <v>0</v>
      </c>
      <c r="H4" s="9">
        <f>COUNTIF(OITAVAS!C51:AP51,3)+COUNTIF(OITAVAS!C51:AP51,6)</f>
        <v>7</v>
      </c>
      <c r="I4" s="71">
        <f>IF(OITAVAS!$D98=0,0,1)</f>
        <v>1</v>
      </c>
      <c r="J4" s="111"/>
      <c r="K4" s="131">
        <f>QUARTAS!AR3+QUARTAS!AR27</f>
        <v>0</v>
      </c>
      <c r="L4" s="71">
        <f>+COUNTIF(QUARTAS!$C27:$AP27,Pesos!$O$6)+COUNTIF(QUARTAS!$C3:$AP3,Pesos!$O$6)+COUNTIF(QUARTAS!$C27:$AP27,Pesos!$O$6*2)+COUNTIF(QUARTAS!$C3:$AP3,Pesos!$O$6*2)</f>
        <v>0</v>
      </c>
      <c r="M4" s="111"/>
      <c r="N4" s="131" t="str">
        <f t="shared" ref="N4:N7" si="1">#REF!</f>
        <v>#REF!</v>
      </c>
      <c r="O4" s="71" t="str">
        <f>+COUNTIF(SEMI!#REF!,Pesos!$O$5)+COUNTIF(SEMI!$C3:$AP3,Pesos!$O$5)+COUNTIF(SEMI!#REF!,Pesos!$O$5*2)+COUNTIF(SEMI!$C3:$AP3,Pesos!$O$5*2)</f>
        <v>#ERROR!</v>
      </c>
      <c r="P4" s="111"/>
      <c r="Q4" s="131">
        <f>IF(FINAL!G3=23.8,1,0)+IF(FINAL!G3=5,1,0)</f>
        <v>0</v>
      </c>
      <c r="R4" s="71">
        <f>IF(FINAL!G3=23.8,1,0)</f>
        <v>0</v>
      </c>
      <c r="S4" s="111"/>
      <c r="T4" s="131" t="str">
        <f>+COUNTIF(OITAVAS!$C27:$AP27,Pesos!$N$6*2)+COUNTIF(OITAVAS!$C3:$AP3,12)+COUNTIF(#REF!,Pesos!$O$6*2)+COUNTIF(#REF!,Pesos!$O$6*2)+COUNTIF(#REF!,Pesos!$O$6*2)+COUNTIF(#REF!,Pesos!$O$6*2)</f>
        <v>#REF!</v>
      </c>
    </row>
    <row r="5" ht="12.75" customHeight="1">
      <c r="B5" s="51" t="s">
        <v>10</v>
      </c>
      <c r="C5" s="131">
        <f>SUM('cálculo'!AF7:'cálculo'!AF150)</f>
        <v>68.85</v>
      </c>
      <c r="D5" s="131">
        <f>SUM('cálculo'!AF151:'cálculo'!AF166)</f>
        <v>21</v>
      </c>
      <c r="E5" s="1"/>
      <c r="F5" s="131">
        <f>OITAVAS!AR4+OITAVAS!AR28</f>
        <v>10</v>
      </c>
      <c r="G5" s="9">
        <f>+COUNTIF(OITAVAS!$C28:$AP28,Pesos!$N$6)+COUNTIF(OITAVAS!$C4:$AP4,Pesos!$N$6)+COUNTIF(OITAVAS!$C28:$AP28,Pesos!$N$6*2)+COUNTIF(OITAVAS!$C4:$AP4,Pesos!$N$6*2)</f>
        <v>1</v>
      </c>
      <c r="H5" s="9">
        <f>COUNTIF(OITAVAS!C52:AP52,3)+COUNTIF(OITAVAS!C52:AP52,6)</f>
        <v>6</v>
      </c>
      <c r="I5" s="71">
        <f>IF(OITAVAS!$D99=0,0,1)</f>
        <v>1</v>
      </c>
      <c r="J5" s="111"/>
      <c r="K5" s="131">
        <f>QUARTAS!AR4+QUARTAS!AR28</f>
        <v>0</v>
      </c>
      <c r="L5" s="71">
        <f>+COUNTIF(QUARTAS!$C28:$AP28,Pesos!$O$6)+COUNTIF(QUARTAS!$C4:$AP4,Pesos!$O$6)+COUNTIF(QUARTAS!$C28:$AP28,Pesos!$O$6*2)+COUNTIF(QUARTAS!$C4:$AP4,Pesos!$O$6*2)</f>
        <v>0</v>
      </c>
      <c r="M5" s="111"/>
      <c r="N5" s="131" t="str">
        <f t="shared" si="1"/>
        <v>#REF!</v>
      </c>
      <c r="O5" s="71" t="str">
        <f>+COUNTIF(SEMI!#REF!,Pesos!$O$5)+COUNTIF(SEMI!$C4:$AP4,Pesos!$O$5)+COUNTIF(SEMI!#REF!,Pesos!$O$5*2)+COUNTIF(SEMI!$C4:$AP4,Pesos!$O$5*2)</f>
        <v>#ERROR!</v>
      </c>
      <c r="P5" s="111"/>
      <c r="Q5" s="131">
        <f>IF(FINAL!G4=23.8,1,0)+IF(FINAL!G4=5,1,0)</f>
        <v>0</v>
      </c>
      <c r="R5" s="71">
        <f>IF(FINAL!G4=23.8,1,0)</f>
        <v>0</v>
      </c>
      <c r="S5" s="111"/>
      <c r="T5" s="131" t="str">
        <f>+COUNTIF(OITAVAS!$C28:$AP28,Pesos!$N$6*2)+COUNTIF(OITAVAS!$C4:$AP4,12)+COUNTIF(#REF!,Pesos!$O$6*2)+COUNTIF(#REF!,Pesos!$O$6*2)+COUNTIF(#REF!,Pesos!$O$6*2)+COUNTIF(#REF!,Pesos!$O$6*2)</f>
        <v>#REF!</v>
      </c>
    </row>
    <row r="6" ht="12.75" customHeight="1">
      <c r="B6" s="51" t="s">
        <v>17</v>
      </c>
      <c r="C6" s="131">
        <f>SUM('cálculo'!AM7:'cálculo'!AM150)</f>
        <v>69.7</v>
      </c>
      <c r="D6" s="131">
        <f>SUM('cálculo'!AM151:'cálculo'!AM166)</f>
        <v>37.2</v>
      </c>
      <c r="E6" s="1"/>
      <c r="F6" s="131">
        <f>OITAVAS!AR5+OITAVAS!AR29</f>
        <v>10</v>
      </c>
      <c r="G6" s="9">
        <f>+COUNTIF(OITAVAS!$C29:$AP29,Pesos!$N$6)+COUNTIF(OITAVAS!$C5:$AP5,Pesos!$N$6)+COUNTIF(OITAVAS!$C29:$AP29,Pesos!$N$6*2)+COUNTIF(OITAVAS!$C5:$AP5,Pesos!$N$6*2)</f>
        <v>1</v>
      </c>
      <c r="H6" s="9">
        <f>COUNTIF(OITAVAS!C53:AP53,3)+COUNTIF(OITAVAS!C53:AP53,6)</f>
        <v>8</v>
      </c>
      <c r="I6" s="71">
        <f>IF(OITAVAS!$D100=0,0,1)</f>
        <v>1</v>
      </c>
      <c r="J6" s="111"/>
      <c r="K6" s="131">
        <f>QUARTAS!AR5+QUARTAS!AR29</f>
        <v>0</v>
      </c>
      <c r="L6" s="71">
        <f>+COUNTIF(QUARTAS!$C29:$AP29,Pesos!$O$6)+COUNTIF(QUARTAS!$C5:$AP5,Pesos!$O$6)+COUNTIF(QUARTAS!$C29:$AP29,Pesos!$O$6*2)+COUNTIF(QUARTAS!$C5:$AP5,Pesos!$O$6*2)</f>
        <v>0</v>
      </c>
      <c r="M6" s="111"/>
      <c r="N6" s="131" t="str">
        <f t="shared" si="1"/>
        <v>#REF!</v>
      </c>
      <c r="O6" s="71" t="str">
        <f>+COUNTIF(SEMI!#REF!,Pesos!$O$5)+COUNTIF(SEMI!$C5:$AP5,Pesos!$O$5)+COUNTIF(SEMI!#REF!,Pesos!$O$5*2)+COUNTIF(SEMI!$C5:$AP5,Pesos!$O$5*2)</f>
        <v>#ERROR!</v>
      </c>
      <c r="P6" s="111"/>
      <c r="Q6" s="131">
        <f>IF(FINAL!G5=23.8,1,0)+IF(FINAL!G5=5,1,0)</f>
        <v>0</v>
      </c>
      <c r="R6" s="71">
        <f>IF(FINAL!G5=23.8,1,0)</f>
        <v>0</v>
      </c>
      <c r="S6" s="111"/>
      <c r="T6" s="131" t="str">
        <f>+COUNTIF(OITAVAS!$C29:$AP29,Pesos!$N$6*2)+COUNTIF(OITAVAS!$C5:$AP5,12)+COUNTIF(#REF!,Pesos!$O$6*2)+COUNTIF(#REF!,Pesos!$O$6*2)+COUNTIF(#REF!,Pesos!$O$6*2)+COUNTIF(#REF!,Pesos!$O$6*2)</f>
        <v>#REF!</v>
      </c>
    </row>
    <row r="7" ht="12.75" customHeight="1">
      <c r="B7" s="51" t="s">
        <v>3</v>
      </c>
      <c r="C7" s="131">
        <f>SUM('cálculo'!Y7:'cálculo'!Y150)</f>
        <v>68</v>
      </c>
      <c r="D7" s="131">
        <f>SUM('cálculo'!Y151:'cálculo'!Y166)</f>
        <v>25</v>
      </c>
      <c r="E7" s="1"/>
      <c r="F7" s="131">
        <f>OITAVAS!AR6+OITAVAS!AR30</f>
        <v>8</v>
      </c>
      <c r="G7" s="9">
        <f>+COUNTIF(OITAVAS!$C30:$AP30,Pesos!$N$6)+COUNTIF(OITAVAS!$C6:$AP6,Pesos!$N$6)+COUNTIF(OITAVAS!$C30:$AP30,Pesos!$N$6*2)+COUNTIF(OITAVAS!$C6:$AP6,Pesos!$N$6*2)</f>
        <v>1</v>
      </c>
      <c r="H7" s="9">
        <f>COUNTIF(OITAVAS!C54:AP54,3)+COUNTIF(OITAVAS!C54:AP54,6)</f>
        <v>6</v>
      </c>
      <c r="I7" s="71">
        <f>IF(OITAVAS!$D101=0,0,1)</f>
        <v>1</v>
      </c>
      <c r="J7" s="111"/>
      <c r="K7" s="131">
        <f>QUARTAS!AR6+QUARTAS!AR30</f>
        <v>0</v>
      </c>
      <c r="L7" s="71">
        <f>+COUNTIF(QUARTAS!$C30:$AP30,Pesos!$O$6)+COUNTIF(QUARTAS!$C6:$AP6,Pesos!$O$6)+COUNTIF(QUARTAS!$C30:$AP30,Pesos!$O$6*2)+COUNTIF(QUARTAS!$C6:$AP6,Pesos!$O$6*2)</f>
        <v>0</v>
      </c>
      <c r="M7" s="111"/>
      <c r="N7" s="131" t="str">
        <f t="shared" si="1"/>
        <v>#REF!</v>
      </c>
      <c r="O7" s="71" t="str">
        <f>+COUNTIF(SEMI!#REF!,Pesos!$O$5)+COUNTIF(SEMI!$C6:$AP6,Pesos!$O$5)+COUNTIF(SEMI!#REF!,Pesos!$O$5*2)+COUNTIF(SEMI!$C6:$AP6,Pesos!$O$5*2)</f>
        <v>#ERROR!</v>
      </c>
      <c r="P7" s="111"/>
      <c r="Q7" s="131">
        <f>IF(FINAL!G6=23.8,1,0)+IF(FINAL!G6=5,1,0)</f>
        <v>0</v>
      </c>
      <c r="R7" s="71">
        <f>IF(FINAL!G6=23.8,1,0)</f>
        <v>0</v>
      </c>
      <c r="S7" s="111"/>
      <c r="T7" s="131" t="str">
        <f>+COUNTIF(OITAVAS!$C30:$AP30,Pesos!$N$6*2)+COUNTIF(OITAVAS!$C6:$AP6,12)+COUNTIF(#REF!,Pesos!$O$6*2)+COUNTIF(#REF!,Pesos!$O$6*2)+COUNTIF(#REF!,Pesos!$O$6*2)+COUNTIF(#REF!,Pesos!$O$6*2)</f>
        <v>#REF!</v>
      </c>
    </row>
    <row r="8" ht="12.75" customHeight="1">
      <c r="B8" s="51" t="s">
        <v>13</v>
      </c>
      <c r="C8" s="131">
        <f>SUM('cálculo'!AI7:'cálculo'!AI150)</f>
        <v>76.5</v>
      </c>
      <c r="D8" s="131">
        <f>SUM('cálculo'!AI151:'cálculo'!AI166)</f>
        <v>25.2</v>
      </c>
      <c r="E8" s="1"/>
      <c r="F8" s="131">
        <f>OITAVAS!AR7+OITAVAS!AR31</f>
        <v>9</v>
      </c>
      <c r="G8" s="9">
        <f>+COUNTIF(OITAVAS!$C31:$AP31,Pesos!$N$6)+COUNTIF(OITAVAS!$C7:$AP7,Pesos!$N$6)+COUNTIF(OITAVAS!$C31:$AP31,Pesos!$N$6*2)+COUNTIF(OITAVAS!$C7:$AP7,Pesos!$N$6*2)</f>
        <v>1</v>
      </c>
      <c r="H8" s="9">
        <f>COUNTIF(OITAVAS!C55:AP55,3)+COUNTIF(OITAVAS!C55:AP55,6)</f>
        <v>7</v>
      </c>
      <c r="I8" s="71">
        <f>IF(OITAVAS!$D102=0,0,1)</f>
        <v>1</v>
      </c>
      <c r="J8" s="111"/>
      <c r="K8" s="131">
        <f>QUARTAS!AR7+QUARTAS!AR31</f>
        <v>0</v>
      </c>
      <c r="L8" s="71">
        <f>+COUNTIF(QUARTAS!$C31:$AP31,Pesos!$O$6)+COUNTIF(QUARTAS!$C7:$AP7,Pesos!$O$6)+COUNTIF(QUARTAS!$C31:$AP31,Pesos!$O$6*2)+COUNTIF(QUARTAS!$C7:$AP7,Pesos!$O$6*2)</f>
        <v>0</v>
      </c>
      <c r="M8" s="111"/>
      <c r="N8" s="131" t="str">
        <f>SEMI!#REF!</f>
        <v>#ERROR!</v>
      </c>
      <c r="O8" s="71" t="str">
        <f>+COUNTIF(SEMI!#REF!,Pesos!$O$5)+COUNTIF(SEMI!#REF!,Pesos!$O$5)+COUNTIF(SEMI!#REF!,Pesos!$O$5*2)+COUNTIF(SEMI!#REF!,Pesos!$O$5*2)</f>
        <v>#ERROR!</v>
      </c>
      <c r="P8" s="111"/>
      <c r="Q8" s="131" t="str">
        <f>IF(FINAL!#REF!=23.8,1,0)+IF(FINAL!#REF!=5,1,0)</f>
        <v>#ERROR!</v>
      </c>
      <c r="R8" s="71" t="str">
        <f>IF(FINAL!#REF!=23.8,1,0)</f>
        <v>#ERROR!</v>
      </c>
      <c r="S8" s="111"/>
      <c r="T8" s="131" t="str">
        <f>+COUNTIF(OITAVAS!#REF!,Pesos!$M$5*2)+COUNTIF(OITAVAS!#REF!,12)+COUNTIF(#REF!,Pesos!$N$5*2)+COUNTIF(#REF!,Pesos!$N$5*2)+COUNTIF(#REF!,Pesos!$N$5*2)+COUNTIF(#REF!,Pesos!$N$5*2)</f>
        <v>#ERROR!</v>
      </c>
    </row>
    <row r="9" ht="12.75" customHeight="1">
      <c r="B9" s="51" t="s">
        <v>14</v>
      </c>
      <c r="C9" s="131">
        <f>SUM('cálculo'!AJ7:'cálculo'!AJ150)</f>
        <v>64.6</v>
      </c>
      <c r="D9" s="131">
        <f>SUM('cálculo'!AJ151:'cálculo'!AJ166)</f>
        <v>25.2</v>
      </c>
      <c r="E9" s="1"/>
      <c r="F9" s="131">
        <f>OITAVAS!AR8+OITAVAS!AR32</f>
        <v>10</v>
      </c>
      <c r="G9" s="9">
        <f>+COUNTIF(OITAVAS!$C32:$AP32,Pesos!$N$6)+COUNTIF(OITAVAS!$C8:$AP8,Pesos!$N$6)+COUNTIF(OITAVAS!$C32:$AP32,Pesos!$N$6*2)+COUNTIF(OITAVAS!$C8:$AP8,Pesos!$N$6*2)</f>
        <v>2</v>
      </c>
      <c r="H9" s="9">
        <f>COUNTIF(OITAVAS!C56:AP56,3)+COUNTIF(OITAVAS!C56:AP56,6)</f>
        <v>5</v>
      </c>
      <c r="I9" s="71">
        <f>IF(OITAVAS!$D103=0,0,1)</f>
        <v>1</v>
      </c>
      <c r="J9" s="111"/>
      <c r="K9" s="131">
        <f>QUARTAS!AR8+QUARTAS!AR32</f>
        <v>0</v>
      </c>
      <c r="L9" s="71">
        <f>+COUNTIF(QUARTAS!$C32:$AP32,Pesos!$O$6)+COUNTIF(QUARTAS!$C8:$AP8,Pesos!$O$6)+COUNTIF(QUARTAS!$C32:$AP32,Pesos!$O$6*2)+COUNTIF(QUARTAS!$C8:$AP8,Pesos!$O$6*2)</f>
        <v>0</v>
      </c>
      <c r="M9" s="111"/>
      <c r="N9" s="131" t="str">
        <f t="shared" ref="N9:N18" si="2">#REF!</f>
        <v>#REF!</v>
      </c>
      <c r="O9" s="71" t="str">
        <f>+COUNTIF(SEMI!#REF!,Pesos!$O$5)+COUNTIF(SEMI!$C7:$AP7,Pesos!$O$5)+COUNTIF(SEMI!#REF!,Pesos!$O$5*2)+COUNTIF(SEMI!$C7:$AP7,Pesos!$O$5*2)</f>
        <v>#ERROR!</v>
      </c>
      <c r="P9" s="111"/>
      <c r="Q9" s="131">
        <f>IF(FINAL!G7=23.8,1,0)+IF(FINAL!G7=5,1,0)</f>
        <v>0</v>
      </c>
      <c r="R9" s="71">
        <f>IF(FINAL!G7=23.8,1,0)</f>
        <v>0</v>
      </c>
      <c r="S9" s="111"/>
      <c r="T9" s="131" t="str">
        <f>+COUNTIF(OITAVAS!$C31:$AP31,Pesos!$N$6*2)+COUNTIF(OITAVAS!$C7:$AP7,12)+COUNTIF(#REF!,Pesos!$O$6*2)+COUNTIF(#REF!,Pesos!$O$6*2)+COUNTIF(#REF!,Pesos!$O$6*2)+COUNTIF(#REF!,Pesos!$O$6*2)</f>
        <v>#REF!</v>
      </c>
    </row>
    <row r="10" ht="12.75" customHeight="1">
      <c r="B10" s="51" t="s">
        <v>6</v>
      </c>
      <c r="C10" s="131">
        <f>SUM('cálculo'!AB7:'cálculo'!AB150)</f>
        <v>68</v>
      </c>
      <c r="D10" s="131">
        <f>SUM('cálculo'!AB151:'cálculo'!AB166)</f>
        <v>25</v>
      </c>
      <c r="E10" s="1"/>
      <c r="F10" s="131">
        <f>OITAVAS!AR9+OITAVAS!AR33</f>
        <v>11</v>
      </c>
      <c r="G10" s="9">
        <f>+COUNTIF(OITAVAS!$C33:$AP33,Pesos!$N$6)+COUNTIF(OITAVAS!$C9:$AP9,Pesos!$N$6)+COUNTIF(OITAVAS!$C33:$AP33,Pesos!$N$6*2)+COUNTIF(OITAVAS!$C9:$AP9,Pesos!$N$6*2)</f>
        <v>2</v>
      </c>
      <c r="H10" s="9">
        <f>COUNTIF(OITAVAS!C57:AP57,3)+COUNTIF(OITAVAS!C57:AP57,6)</f>
        <v>6</v>
      </c>
      <c r="I10" s="71">
        <f>IF(OITAVAS!$D104=0,0,1)</f>
        <v>1</v>
      </c>
      <c r="J10" s="111"/>
      <c r="K10" s="131">
        <f>QUARTAS!AR9+QUARTAS!AR33</f>
        <v>0</v>
      </c>
      <c r="L10" s="71">
        <f>+COUNTIF(QUARTAS!$C33:$AP33,Pesos!$O$6)+COUNTIF(QUARTAS!$C9:$AP9,Pesos!$O$6)+COUNTIF(QUARTAS!$C33:$AP33,Pesos!$O$6*2)+COUNTIF(QUARTAS!$C9:$AP9,Pesos!$O$6*2)</f>
        <v>0</v>
      </c>
      <c r="M10" s="111"/>
      <c r="N10" s="131" t="str">
        <f t="shared" si="2"/>
        <v>#REF!</v>
      </c>
      <c r="O10" s="71" t="str">
        <f>+COUNTIF(SEMI!#REF!,Pesos!$O$5)+COUNTIF(SEMI!$C8:$AP8,Pesos!$O$5)+COUNTIF(SEMI!#REF!,Pesos!$O$5*2)+COUNTIF(SEMI!$C8:$AP8,Pesos!$O$5*2)</f>
        <v>#ERROR!</v>
      </c>
      <c r="P10" s="111"/>
      <c r="Q10" s="131">
        <f>IF(FINAL!G8=23.8,1,0)+IF(FINAL!G8=5,1,0)</f>
        <v>0</v>
      </c>
      <c r="R10" s="71">
        <f>IF(FINAL!G8=23.8,1,0)</f>
        <v>0</v>
      </c>
      <c r="S10" s="111"/>
      <c r="T10" s="131" t="str">
        <f>+COUNTIF(OITAVAS!$C32:$AP32,Pesos!$N$6*2)+COUNTIF(OITAVAS!$C8:$AP8,12)+COUNTIF(#REF!,Pesos!$O$6*2)+COUNTIF(#REF!,Pesos!$O$6*2)+COUNTIF(#REF!,Pesos!$O$6*2)+COUNTIF(#REF!,Pesos!$O$6*2)</f>
        <v>#REF!</v>
      </c>
    </row>
    <row r="11" ht="12.75" customHeight="1">
      <c r="B11" s="51" t="s">
        <v>5</v>
      </c>
      <c r="C11" s="131">
        <f>SUM('cálculo'!AA7:'cálculo'!AA150)</f>
        <v>70.55</v>
      </c>
      <c r="D11" s="131">
        <f>SUM('cálculo'!AA151:'cálculo'!AA166)</f>
        <v>21</v>
      </c>
      <c r="E11" s="1"/>
      <c r="F11" s="131">
        <f>OITAVAS!AR10+OITAVAS!AR34</f>
        <v>10</v>
      </c>
      <c r="G11" s="9">
        <f>+COUNTIF(OITAVAS!$C34:$AP34,Pesos!$N$6)+COUNTIF(OITAVAS!$C10:$AP10,Pesos!$N$6)+COUNTIF(OITAVAS!$C34:$AP34,Pesos!$N$6*2)+COUNTIF(OITAVAS!$C10:$AP10,Pesos!$N$6*2)</f>
        <v>3</v>
      </c>
      <c r="H11" s="9">
        <f>COUNTIF(OITAVAS!C58:AP58,3)+COUNTIF(OITAVAS!C58:AP58,6)</f>
        <v>7</v>
      </c>
      <c r="I11" s="71">
        <f>IF(OITAVAS!$D105=0,0,1)</f>
        <v>1</v>
      </c>
      <c r="J11" s="111"/>
      <c r="K11" s="131">
        <f>QUARTAS!AR10+QUARTAS!AR34</f>
        <v>0</v>
      </c>
      <c r="L11" s="71">
        <f>+COUNTIF(QUARTAS!$C34:$AP34,Pesos!$O$6)+COUNTIF(QUARTAS!$C10:$AP10,Pesos!$O$6)+COUNTIF(QUARTAS!$C34:$AP34,Pesos!$O$6*2)+COUNTIF(QUARTAS!$C10:$AP10,Pesos!$O$6*2)</f>
        <v>0</v>
      </c>
      <c r="M11" s="111"/>
      <c r="N11" s="131" t="str">
        <f t="shared" si="2"/>
        <v>#REF!</v>
      </c>
      <c r="O11" s="71" t="str">
        <f>+COUNTIF(SEMI!#REF!,Pesos!$O$5)+COUNTIF(SEMI!$C9:$AP9,Pesos!$O$5)+COUNTIF(SEMI!#REF!,Pesos!$O$5*2)+COUNTIF(SEMI!$C9:$AP9,Pesos!$O$5*2)</f>
        <v>#ERROR!</v>
      </c>
      <c r="P11" s="111"/>
      <c r="Q11" s="131">
        <f>IF(FINAL!G9=23.8,1,0)+IF(FINAL!G9=5,1,0)</f>
        <v>0</v>
      </c>
      <c r="R11" s="71">
        <f>IF(FINAL!G9=23.8,1,0)</f>
        <v>0</v>
      </c>
      <c r="S11" s="111"/>
      <c r="T11" s="131" t="str">
        <f>+COUNTIF(OITAVAS!$C33:$AP33,Pesos!$N$6*2)+COUNTIF(OITAVAS!$C9:$AP9,12)+COUNTIF(#REF!,Pesos!$O$6*2)+COUNTIF(#REF!,Pesos!$O$6*2)+COUNTIF(#REF!,Pesos!$O$6*2)+COUNTIF(#REF!,Pesos!$O$6*2)</f>
        <v>#REF!</v>
      </c>
    </row>
    <row r="12" ht="12.75" customHeight="1">
      <c r="B12" s="51" t="s">
        <v>4</v>
      </c>
      <c r="C12" s="131">
        <f>SUM('cálculo'!Z7:'cálculo'!Z150)</f>
        <v>71.4</v>
      </c>
      <c r="D12" s="131">
        <f>SUM('cálculo'!Z151:'cálculo'!Z166)</f>
        <v>29.2</v>
      </c>
      <c r="E12" s="1"/>
      <c r="F12" s="131">
        <f>OITAVAS!AR11+OITAVAS!AR35</f>
        <v>9</v>
      </c>
      <c r="G12" s="9">
        <f>+COUNTIF(OITAVAS!$C35:$AP35,Pesos!$N$6)+COUNTIF(OITAVAS!$C11:$AP11,Pesos!$N$6)+COUNTIF(OITAVAS!$C35:$AP35,Pesos!$N$6*2)+COUNTIF(OITAVAS!$C11:$AP11,Pesos!$N$6*2)</f>
        <v>2</v>
      </c>
      <c r="H12" s="9">
        <f>COUNTIF(OITAVAS!C59:AP59,3)+COUNTIF(OITAVAS!C59:AP59,6)</f>
        <v>7</v>
      </c>
      <c r="I12" s="71">
        <f>IF(OITAVAS!$D106=0,0,1)</f>
        <v>1</v>
      </c>
      <c r="J12" s="111"/>
      <c r="K12" s="131">
        <f>QUARTAS!AR11+QUARTAS!AR35</f>
        <v>0</v>
      </c>
      <c r="L12" s="71">
        <f>+COUNTIF(QUARTAS!$C35:$AP35,Pesos!$O$6)+COUNTIF(QUARTAS!$C11:$AP11,Pesos!$O$6)+COUNTIF(QUARTAS!$C35:$AP35,Pesos!$O$6*2)+COUNTIF(QUARTAS!$C11:$AP11,Pesos!$O$6*2)</f>
        <v>0</v>
      </c>
      <c r="M12" s="111"/>
      <c r="N12" s="131" t="str">
        <f t="shared" si="2"/>
        <v>#REF!</v>
      </c>
      <c r="O12" s="71" t="str">
        <f>+COUNTIF(SEMI!#REF!,Pesos!$O$5)+COUNTIF(SEMI!$C10:$AP10,Pesos!$O$5)+COUNTIF(SEMI!#REF!,Pesos!$O$5*2)+COUNTIF(SEMI!$C10:$AP10,Pesos!$O$5*2)</f>
        <v>#ERROR!</v>
      </c>
      <c r="P12" s="111"/>
      <c r="Q12" s="131" t="str">
        <f>IF(#REF!=23.8,1,0)+IF(#REF!=5,1,0)</f>
        <v>#REF!</v>
      </c>
      <c r="R12" s="71" t="str">
        <f>IF(#REF!=23.8,1,0)</f>
        <v>#REF!</v>
      </c>
      <c r="S12" s="111"/>
      <c r="T12" s="131" t="str">
        <f>+COUNTIF(OITAVAS!$C34:$AP34,Pesos!$N$6*2)+COUNTIF(OITAVAS!$C10:$AP10,12)+COUNTIF(#REF!,Pesos!$O$6*2)+COUNTIF(#REF!,Pesos!$O$6*2)+COUNTIF(#REF!,Pesos!$O$6*2)+COUNTIF(#REF!,Pesos!$O$6*2)</f>
        <v>#REF!</v>
      </c>
    </row>
    <row r="13" ht="12.75" customHeight="1">
      <c r="B13" s="51" t="s">
        <v>18</v>
      </c>
      <c r="C13" s="131">
        <f>SUM('cálculo'!AN7:'cálculo'!AN150)</f>
        <v>64.6</v>
      </c>
      <c r="D13" s="131">
        <f>SUM('cálculo'!AN151:'cálculo'!AN166)</f>
        <v>25</v>
      </c>
      <c r="E13" s="1"/>
      <c r="F13" s="131">
        <f>OITAVAS!AR12+OITAVAS!AR36</f>
        <v>8</v>
      </c>
      <c r="G13" s="9">
        <f>+COUNTIF(OITAVAS!$C36:$AP36,Pesos!$N$6)+COUNTIF(OITAVAS!$C12:$AP12,Pesos!$N$6)+COUNTIF(OITAVAS!$C36:$AP36,Pesos!$N$6*2)+COUNTIF(OITAVAS!$C12:$AP12,Pesos!$N$6*2)</f>
        <v>0</v>
      </c>
      <c r="H13" s="9">
        <f>COUNTIF(OITAVAS!C60:AP60,3)+COUNTIF(OITAVAS!C60:AP60,6)</f>
        <v>6</v>
      </c>
      <c r="I13" s="71">
        <f>IF(OITAVAS!$D107=0,0,1)</f>
        <v>1</v>
      </c>
      <c r="J13" s="111"/>
      <c r="K13" s="131">
        <f>QUARTAS!AR12+QUARTAS!AR36</f>
        <v>0</v>
      </c>
      <c r="L13" s="71">
        <f>+COUNTIF(QUARTAS!$C36:$AP36,Pesos!$O$6)+COUNTIF(QUARTAS!$C12:$AP12,Pesos!$O$6)+COUNTIF(QUARTAS!$C36:$AP36,Pesos!$O$6*2)+COUNTIF(QUARTAS!$C12:$AP12,Pesos!$O$6*2)</f>
        <v>0</v>
      </c>
      <c r="M13" s="111"/>
      <c r="N13" s="131" t="str">
        <f t="shared" si="2"/>
        <v>#REF!</v>
      </c>
      <c r="O13" s="71" t="str">
        <f>+COUNTIF(SEMI!#REF!,Pesos!$O$5)+COUNTIF(SEMI!$C11:$AP11,Pesos!$O$5)+COUNTIF(SEMI!#REF!,Pesos!$O$5*2)+COUNTIF(SEMI!$C11:$AP11,Pesos!$O$5*2)</f>
        <v>#ERROR!</v>
      </c>
      <c r="P13" s="111"/>
      <c r="Q13" s="131">
        <f>IF(FINAL!G10=23.8,1,0)+IF(FINAL!G10=5,1,0)</f>
        <v>0</v>
      </c>
      <c r="R13" s="71">
        <f>IF(FINAL!G10=23.8,1,0)</f>
        <v>0</v>
      </c>
      <c r="S13" s="111"/>
      <c r="T13" s="131" t="str">
        <f>+COUNTIF(OITAVAS!#REF!,Pesos!$M$5*2)+COUNTIF(OITAVAS!#REF!,12)+COUNTIF(#REF!,Pesos!$N$5*2)+COUNTIF(#REF!,Pesos!$N$5*2)+COUNTIF(#REF!,Pesos!$N$5*2)+COUNTIF(#REF!,Pesos!$N$5*2)</f>
        <v>#ERROR!</v>
      </c>
    </row>
    <row r="14" ht="12.75" customHeight="1">
      <c r="B14" s="51" t="s">
        <v>2</v>
      </c>
      <c r="C14" s="131">
        <f>SUM('cálculo'!X7:'cálculo'!X150)</f>
        <v>66.3</v>
      </c>
      <c r="D14" s="131">
        <f>SUM('cálculo'!X151:'cálculo'!X166)</f>
        <v>16.8</v>
      </c>
      <c r="E14" s="1"/>
      <c r="F14" s="131">
        <f>OITAVAS!AR13+OITAVAS!AR37</f>
        <v>10</v>
      </c>
      <c r="G14" s="9">
        <f>+COUNTIF(OITAVAS!$C37:$AP37,Pesos!$N$6)+COUNTIF(OITAVAS!$C13:$AP13,Pesos!$N$6)+COUNTIF(OITAVAS!$C37:$AP37,Pesos!$N$6*2)+COUNTIF(OITAVAS!$C13:$AP13,Pesos!$N$6*2)</f>
        <v>0</v>
      </c>
      <c r="H14" s="9">
        <f>COUNTIF(OITAVAS!C61:AP61,3)+COUNTIF(OITAVAS!C61:AP61,6)</f>
        <v>8</v>
      </c>
      <c r="I14" s="71">
        <f>IF(OITAVAS!$D108=0,0,1)</f>
        <v>1</v>
      </c>
      <c r="J14" s="111"/>
      <c r="K14" s="131">
        <f>QUARTAS!AR13+QUARTAS!AR37</f>
        <v>0</v>
      </c>
      <c r="L14" s="71">
        <f>+COUNTIF(QUARTAS!$C37:$AP37,Pesos!$O$6)+COUNTIF(QUARTAS!$C13:$AP13,Pesos!$O$6)+COUNTIF(QUARTAS!$C37:$AP37,Pesos!$O$6*2)+COUNTIF(QUARTAS!$C13:$AP13,Pesos!$O$6*2)</f>
        <v>0</v>
      </c>
      <c r="M14" s="111"/>
      <c r="N14" s="131" t="str">
        <f t="shared" si="2"/>
        <v>#REF!</v>
      </c>
      <c r="O14" s="71" t="str">
        <f>+COUNTIF(SEMI!#REF!,Pesos!$O$5)+COUNTIF(SEMI!$C12:$AP12,Pesos!$O$5)+COUNTIF(SEMI!#REF!,Pesos!$O$5*2)+COUNTIF(SEMI!$C12:$AP12,Pesos!$O$5*2)</f>
        <v>#ERROR!</v>
      </c>
      <c r="P14" s="111"/>
      <c r="Q14" s="131">
        <f>IF(FINAL!G11=23.8,1,0)+IF(FINAL!G11=5,1,0)</f>
        <v>0</v>
      </c>
      <c r="R14" s="71">
        <f>IF(FINAL!G11=23.8,1,0)</f>
        <v>0</v>
      </c>
      <c r="S14" s="111"/>
      <c r="T14" s="131" t="str">
        <f>+COUNTIF(OITAVAS!$C35:$AP35,Pesos!$N$6*2)+COUNTIF(OITAVAS!$C11:$AP11,12)+COUNTIF(#REF!,Pesos!$O$6*2)+COUNTIF(#REF!,Pesos!$O$6*2)+COUNTIF(#REF!,Pesos!$O$6*2)+COUNTIF(#REF!,Pesos!$O$6*2)</f>
        <v>#REF!</v>
      </c>
    </row>
    <row r="15" ht="12.75" customHeight="1">
      <c r="B15" s="51" t="s">
        <v>15</v>
      </c>
      <c r="C15" s="131">
        <f>SUM('cálculo'!AK7:'cálculo'!AK150)</f>
        <v>65.45</v>
      </c>
      <c r="D15" s="131">
        <f>SUM('cálculo'!AK151:'cálculo'!AK166)</f>
        <v>33.2</v>
      </c>
      <c r="E15" s="1"/>
      <c r="F15" s="131">
        <f>OITAVAS!AR14+OITAVAS!AR38</f>
        <v>8</v>
      </c>
      <c r="G15" s="9">
        <f>+COUNTIF(OITAVAS!$C38:$AP38,Pesos!$N$6)+COUNTIF(OITAVAS!$C14:$AP14,Pesos!$N$6)+COUNTIF(OITAVAS!$C38:$AP38,Pesos!$N$6*2)+COUNTIF(OITAVAS!$C14:$AP14,Pesos!$N$6*2)</f>
        <v>1</v>
      </c>
      <c r="H15" s="9">
        <f>COUNTIF(OITAVAS!C62:AP62,3)+COUNTIF(OITAVAS!C62:AP62,6)</f>
        <v>5</v>
      </c>
      <c r="I15" s="71">
        <f>IF(OITAVAS!$D109=0,0,1)</f>
        <v>1</v>
      </c>
      <c r="J15" s="111"/>
      <c r="K15" s="131">
        <f>QUARTAS!AR14+QUARTAS!AR38</f>
        <v>0</v>
      </c>
      <c r="L15" s="71">
        <f>+COUNTIF(QUARTAS!$C38:$AP38,Pesos!$O$6)+COUNTIF(QUARTAS!$C14:$AP14,Pesos!$O$6)+COUNTIF(QUARTAS!$C38:$AP38,Pesos!$O$6*2)+COUNTIF(QUARTAS!$C14:$AP14,Pesos!$O$6*2)</f>
        <v>0</v>
      </c>
      <c r="M15" s="111"/>
      <c r="N15" s="131" t="str">
        <f t="shared" si="2"/>
        <v>#REF!</v>
      </c>
      <c r="O15" s="71" t="str">
        <f>+COUNTIF(SEMI!#REF!,Pesos!$O$5)+COUNTIF(SEMI!$C13:$AP13,Pesos!$O$5)+COUNTIF(SEMI!#REF!,Pesos!$O$5*2)+COUNTIF(SEMI!$C13:$AP13,Pesos!$O$5*2)</f>
        <v>#ERROR!</v>
      </c>
      <c r="P15" s="111"/>
      <c r="Q15" s="131">
        <f>IF(FINAL!G12=23.8,1,0)+IF(FINAL!G12=5,1,0)</f>
        <v>0</v>
      </c>
      <c r="R15" s="71">
        <f>IF(FINAL!G12=23.8,1,0)</f>
        <v>0</v>
      </c>
      <c r="S15" s="111"/>
      <c r="T15" s="131" t="str">
        <f>+COUNTIF(OITAVAS!$C36:$AP36,Pesos!$N$6*2)+COUNTIF(OITAVAS!$C12:$AP12,12)+COUNTIF(#REF!,Pesos!$O$6*2)+COUNTIF(#REF!,Pesos!$O$6*2)+COUNTIF(#REF!,Pesos!$O$6*2)+COUNTIF(#REF!,Pesos!$O$6*2)</f>
        <v>#REF!</v>
      </c>
    </row>
    <row r="16" ht="12.75" customHeight="1">
      <c r="B16" s="51" t="s">
        <v>12</v>
      </c>
      <c r="C16" s="131">
        <f>SUM('cálculo'!AH7:'cálculo'!AH150)</f>
        <v>67.15</v>
      </c>
      <c r="D16" s="131">
        <f>SUM('cálculo'!AH151:'cálculo'!AH166)</f>
        <v>21</v>
      </c>
      <c r="E16" s="1"/>
      <c r="F16" s="131">
        <f>OITAVAS!AR15+OITAVAS!AR39</f>
        <v>10</v>
      </c>
      <c r="G16" s="9">
        <f>+COUNTIF(OITAVAS!$C39:$AP39,Pesos!$N$6)+COUNTIF(OITAVAS!$C15:$AP15,Pesos!$N$6)+COUNTIF(OITAVAS!$C39:$AP39,Pesos!$N$6*2)+COUNTIF(OITAVAS!$C15:$AP15,Pesos!$N$6*2)</f>
        <v>1</v>
      </c>
      <c r="H16" s="9">
        <f>COUNTIF(OITAVAS!C63:AP63,3)+COUNTIF(OITAVAS!C63:AP63,6)</f>
        <v>8</v>
      </c>
      <c r="I16" s="71">
        <f>IF(OITAVAS!$D110=0,0,1)</f>
        <v>1</v>
      </c>
      <c r="J16" s="111"/>
      <c r="K16" s="131">
        <f>QUARTAS!AR15+QUARTAS!AR39</f>
        <v>0</v>
      </c>
      <c r="L16" s="71">
        <f>+COUNTIF(QUARTAS!$C39:$AP39,Pesos!$O$6)+COUNTIF(QUARTAS!$C15:$AP15,Pesos!$O$6)+COUNTIF(QUARTAS!$C39:$AP39,Pesos!$O$6*2)+COUNTIF(QUARTAS!$C15:$AP15,Pesos!$O$6*2)</f>
        <v>0</v>
      </c>
      <c r="M16" s="111"/>
      <c r="N16" s="131" t="str">
        <f t="shared" si="2"/>
        <v>#REF!</v>
      </c>
      <c r="O16" s="71" t="str">
        <f>+COUNTIF(SEMI!#REF!,Pesos!$O$5)+COUNTIF(SEMI!$C14:$AP14,Pesos!$O$5)+COUNTIF(SEMI!#REF!,Pesos!$O$5*2)+COUNTIF(SEMI!$C14:$AP14,Pesos!$O$5*2)</f>
        <v>#ERROR!</v>
      </c>
      <c r="P16" s="111"/>
      <c r="Q16" s="131">
        <f>IF(FINAL!G13=23.8,1,0)+IF(FINAL!G13=5,1,0)</f>
        <v>0</v>
      </c>
      <c r="R16" s="71">
        <f>IF(FINAL!G13=23.8,1,0)</f>
        <v>0</v>
      </c>
      <c r="S16" s="111"/>
      <c r="T16" s="131" t="str">
        <f>+COUNTIF(OITAVAS!$C37:$AP37,Pesos!$N$6*2)+COUNTIF(OITAVAS!$C13:$AP13,12)+COUNTIF(#REF!,Pesos!$O$6*2)+COUNTIF(#REF!,Pesos!$O$6*2)+COUNTIF(#REF!,Pesos!$O$6*2)+COUNTIF(#REF!,Pesos!$O$6*2)</f>
        <v>#REF!</v>
      </c>
    </row>
    <row r="17" ht="12.75" customHeight="1">
      <c r="B17" s="51" t="s">
        <v>8</v>
      </c>
      <c r="C17" s="131">
        <f>SUM('cálculo'!AD7:'cálculo'!AD150)</f>
        <v>69.7</v>
      </c>
      <c r="D17" s="131">
        <f>SUM('cálculo'!AD151:'cálculo'!AD166)</f>
        <v>20.8</v>
      </c>
      <c r="E17" s="1"/>
      <c r="F17" s="131">
        <f>OITAVAS!AR16+OITAVAS!AR40</f>
        <v>8</v>
      </c>
      <c r="G17" s="9">
        <f>+COUNTIF(OITAVAS!$C40:$AP40,Pesos!$N$6)+COUNTIF(OITAVAS!$C16:$AP16,Pesos!$N$6)+COUNTIF(OITAVAS!$C40:$AP40,Pesos!$N$6*2)+COUNTIF(OITAVAS!$C16:$AP16,Pesos!$N$6*2)</f>
        <v>0</v>
      </c>
      <c r="H17" s="9">
        <f>COUNTIF(OITAVAS!C64:AP64,3)+COUNTIF(OITAVAS!C64:AP64,6)</f>
        <v>4</v>
      </c>
      <c r="I17" s="71">
        <f>IF(OITAVAS!$D111=0,0,1)</f>
        <v>0</v>
      </c>
      <c r="J17" s="111"/>
      <c r="K17" s="131">
        <f>QUARTAS!AR16+QUARTAS!AR40</f>
        <v>0</v>
      </c>
      <c r="L17" s="71">
        <f>+COUNTIF(QUARTAS!$C40:$AP40,Pesos!$O$6)+COUNTIF(QUARTAS!$C16:$AP16,Pesos!$O$6)+COUNTIF(QUARTAS!$C40:$AP40,Pesos!$O$6*2)+COUNTIF(QUARTAS!$C16:$AP16,Pesos!$O$6*2)</f>
        <v>0</v>
      </c>
      <c r="M17" s="111"/>
      <c r="N17" s="131" t="str">
        <f t="shared" si="2"/>
        <v>#REF!</v>
      </c>
      <c r="O17" s="71" t="str">
        <f>+COUNTIF(SEMI!#REF!,Pesos!$O$5)+COUNTIF(SEMI!$C15:$AP15,Pesos!$O$5)+COUNTIF(SEMI!#REF!,Pesos!$O$5*2)+COUNTIF(SEMI!$C15:$AP15,Pesos!$O$5*2)</f>
        <v>#ERROR!</v>
      </c>
      <c r="P17" s="111"/>
      <c r="Q17" s="131">
        <f>IF(FINAL!G14=23.8,1,0)+IF(FINAL!G14=5,1,0)</f>
        <v>0</v>
      </c>
      <c r="R17" s="71">
        <f>IF(FINAL!G14=23.8,1,0)</f>
        <v>0</v>
      </c>
      <c r="S17" s="111"/>
      <c r="T17" s="131" t="str">
        <f>+COUNTIF(OITAVAS!$C38:$AP38,Pesos!$N$6*2)+COUNTIF(OITAVAS!$C14:$AP14,12)+COUNTIF(#REF!,Pesos!$O$6*2)+COUNTIF(#REF!,Pesos!$O$6*2)+COUNTIF(#REF!,Pesos!$O$6*2)+COUNTIF(#REF!,Pesos!$O$6*2)</f>
        <v>#REF!</v>
      </c>
    </row>
    <row r="18" ht="12.75" customHeight="1">
      <c r="B18" s="51" t="s">
        <v>16</v>
      </c>
      <c r="C18" s="131">
        <f>SUM('cálculo'!AL7:'cálculo'!AL150)</f>
        <v>65.45</v>
      </c>
      <c r="D18" s="131">
        <f>SUM('cálculo'!AL151:'cálculo'!AL166)</f>
        <v>29.2</v>
      </c>
      <c r="E18" s="1"/>
      <c r="F18" s="131">
        <f>OITAVAS!AR17+OITAVAS!AR41</f>
        <v>10</v>
      </c>
      <c r="G18" s="9">
        <f>+COUNTIF(OITAVAS!$C41:$AP41,Pesos!$N$6)+COUNTIF(OITAVAS!$C17:$AP17,Pesos!$N$6)+COUNTIF(OITAVAS!$C41:$AP41,Pesos!$N$6*2)+COUNTIF(OITAVAS!$C17:$AP17,Pesos!$N$6*2)</f>
        <v>2</v>
      </c>
      <c r="H18" s="9">
        <f>COUNTIF(OITAVAS!C65:AP65,3)+COUNTIF(OITAVAS!C65:AP65,6)</f>
        <v>5</v>
      </c>
      <c r="I18" s="71">
        <f>IF(OITAVAS!$D112=0,0,1)</f>
        <v>1</v>
      </c>
      <c r="J18" s="111"/>
      <c r="K18" s="131">
        <f>QUARTAS!AR17+QUARTAS!AR41</f>
        <v>0</v>
      </c>
      <c r="L18" s="71">
        <f>+COUNTIF(QUARTAS!$C41:$AP41,Pesos!$O$6)+COUNTIF(QUARTAS!$C17:$AP17,Pesos!$O$6)+COUNTIF(QUARTAS!$C41:$AP41,Pesos!$O$6*2)+COUNTIF(QUARTAS!$C17:$AP17,Pesos!$O$6*2)</f>
        <v>0</v>
      </c>
      <c r="M18" s="111"/>
      <c r="N18" s="131" t="str">
        <f t="shared" si="2"/>
        <v>#REF!</v>
      </c>
      <c r="O18" s="71" t="str">
        <f>+COUNTIF(SEMI!#REF!,Pesos!$O$5)+COUNTIF(SEMI!$C16:$AP16,Pesos!$O$5)+COUNTIF(SEMI!#REF!,Pesos!$O$5*2)+COUNTIF(SEMI!$C16:$AP16,Pesos!$O$5*2)</f>
        <v>#ERROR!</v>
      </c>
      <c r="P18" s="111"/>
      <c r="Q18" s="131">
        <f>IF(FINAL!G15=23.8,1,0)+IF(FINAL!G15=5,1,0)</f>
        <v>0</v>
      </c>
      <c r="R18" s="71">
        <f>IF(FINAL!G15=23.8,1,0)</f>
        <v>0</v>
      </c>
      <c r="S18" s="111"/>
      <c r="T18" s="131" t="str">
        <f>+COUNTIF(OITAVAS!$C39:$AP39,Pesos!$N$6*2)+COUNTIF(OITAVAS!$C15:$AP15,12)+COUNTIF(#REF!,Pesos!$O$6*2)+COUNTIF(#REF!,Pesos!$O$6*2)+COUNTIF(#REF!,Pesos!$O$6*2)+COUNTIF(#REF!,Pesos!$O$6*2)</f>
        <v>#REF!</v>
      </c>
    </row>
    <row r="19" ht="12.75" customHeight="1">
      <c r="B19" s="51" t="s">
        <v>11</v>
      </c>
      <c r="C19" s="131">
        <f>SUM('cálculo'!AG7:'cálculo'!AG150)</f>
        <v>67.15</v>
      </c>
      <c r="D19" s="131">
        <f>SUM('cálculo'!AG151:'cálculo'!AG166)</f>
        <v>21</v>
      </c>
      <c r="E19" s="1"/>
      <c r="F19" s="131">
        <f>OITAVAS!AR18+OITAVAS!AR42</f>
        <v>7</v>
      </c>
      <c r="G19" s="9">
        <f>+COUNTIF(OITAVAS!$C42:$AP42,Pesos!$N$6)+COUNTIF(OITAVAS!$C18:$AP18,Pesos!$N$6)+COUNTIF(OITAVAS!$C42:$AP42,Pesos!$N$6*2)+COUNTIF(OITAVAS!$C18:$AP18,Pesos!$N$6*2)</f>
        <v>1</v>
      </c>
      <c r="H19" s="9">
        <f>COUNTIF(OITAVAS!C66:AP66,3)+COUNTIF(OITAVAS!C66:AP66,6)</f>
        <v>4</v>
      </c>
      <c r="I19" s="71">
        <f>IF(OITAVAS!$D113=0,0,1)</f>
        <v>1</v>
      </c>
      <c r="J19" s="111"/>
      <c r="K19" s="131">
        <f>QUARTAS!AR18+QUARTAS!AR42</f>
        <v>0</v>
      </c>
      <c r="L19" s="71">
        <f>+COUNTIF(QUARTAS!$C42:$AP42,Pesos!$O$6)+COUNTIF(QUARTAS!$C18:$AP18,Pesos!$O$6)+COUNTIF(QUARTAS!$C42:$AP42,Pesos!$O$6*2)+COUNTIF(QUARTAS!$C18:$AP18,Pesos!$O$6*2)</f>
        <v>0</v>
      </c>
      <c r="M19" s="111"/>
      <c r="N19" s="131" t="str">
        <f>SEMI!#REF!</f>
        <v>#ERROR!</v>
      </c>
      <c r="O19" s="71" t="str">
        <f>+COUNTIF(SEMI!#REF!,Pesos!$O$5)+COUNTIF(SEMI!#REF!,Pesos!$O$5)+COUNTIF(SEMI!#REF!,Pesos!$O$5*2)+COUNTIF(SEMI!#REF!,Pesos!$O$5*2)</f>
        <v>#ERROR!</v>
      </c>
      <c r="P19" s="111"/>
      <c r="Q19" s="131" t="str">
        <f>IF(FINAL!#REF!=23.8,1,0)+IF(FINAL!#REF!=5,1,0)</f>
        <v>#ERROR!</v>
      </c>
      <c r="R19" s="71" t="str">
        <f>IF(FINAL!#REF!=23.8,1,0)</f>
        <v>#ERROR!</v>
      </c>
      <c r="S19" s="111"/>
      <c r="T19" s="131" t="str">
        <f>+COUNTIF(OITAVAS!#REF!,Pesos!$M$5*2)+COUNTIF(OITAVAS!#REF!,12)+COUNTIF(#REF!,Pesos!$N$5*2)+COUNTIF(#REF!,Pesos!$N$5*2)+COUNTIF(#REF!,Pesos!$N$5*2)+COUNTIF(#REF!,Pesos!$N$5*2)</f>
        <v>#ERROR!</v>
      </c>
    </row>
    <row r="20" ht="12.75" customHeight="1">
      <c r="B20" s="51" t="s">
        <v>7</v>
      </c>
      <c r="C20" s="131">
        <f>SUM('cálculo'!AC7:'cálculo'!AC150)</f>
        <v>68</v>
      </c>
      <c r="D20" s="131">
        <f>SUM('cálculo'!AC151:'cálculo'!AC166)</f>
        <v>21</v>
      </c>
      <c r="E20" s="1"/>
      <c r="F20" s="131">
        <f>OITAVAS!AR19+OITAVAS!AR43</f>
        <v>9</v>
      </c>
      <c r="G20" s="9">
        <f>+COUNTIF(OITAVAS!$C43:$AP43,Pesos!$N$6)+COUNTIF(OITAVAS!$C19:$AP19,Pesos!$N$6)+COUNTIF(OITAVAS!$C43:$AP43,Pesos!$N$6*2)+COUNTIF(OITAVAS!$C19:$AP19,Pesos!$N$6*2)</f>
        <v>1</v>
      </c>
      <c r="H20" s="9">
        <f>COUNTIF(OITAVAS!C67:AP67,3)+COUNTIF(OITAVAS!C67:AP67,6)</f>
        <v>7</v>
      </c>
      <c r="I20" s="71">
        <f>IF(OITAVAS!$D114=0,0,1)</f>
        <v>1</v>
      </c>
      <c r="J20" s="111"/>
      <c r="K20" s="131">
        <f>QUARTAS!AR19+QUARTAS!AR43</f>
        <v>0</v>
      </c>
      <c r="L20" s="71">
        <f>+COUNTIF(QUARTAS!$C43:$AP43,Pesos!$O$6)+COUNTIF(QUARTAS!$C19:$AP19,Pesos!$O$6)+COUNTIF(QUARTAS!$C43:$AP43,Pesos!$O$6*2)+COUNTIF(QUARTAS!$C19:$AP19,Pesos!$O$6*2)</f>
        <v>0</v>
      </c>
      <c r="M20" s="111"/>
      <c r="N20" s="131" t="str">
        <f>SEMI!#REF!</f>
        <v>#ERROR!</v>
      </c>
      <c r="O20" s="71" t="str">
        <f>+COUNTIF(SEMI!#REF!,Pesos!$O$5)+COUNTIF(SEMI!#REF!,Pesos!$O$5)+COUNTIF(SEMI!#REF!,Pesos!$O$5*2)+COUNTIF(SEMI!#REF!,Pesos!$O$5*2)</f>
        <v>#ERROR!</v>
      </c>
      <c r="P20" s="111"/>
      <c r="Q20" s="131" t="str">
        <f>IF(FINAL!#REF!=23.8,1,0)+IF(FINAL!#REF!=5,1,0)</f>
        <v>#ERROR!</v>
      </c>
      <c r="R20" s="71" t="str">
        <f>IF(FINAL!#REF!=23.8,1,0)</f>
        <v>#ERROR!</v>
      </c>
      <c r="S20" s="111"/>
      <c r="T20" s="131" t="str">
        <f>+COUNTIF(OITAVAS!#REF!,Pesos!$M$5*2)+COUNTIF(OITAVAS!#REF!,12)+COUNTIF(#REF!,Pesos!$N$5*2)+COUNTIF(#REF!,Pesos!$N$5*2)+COUNTIF(#REF!,Pesos!$N$5*2)+COUNTIF(#REF!,Pesos!$N$5*2)</f>
        <v>#ERROR!</v>
      </c>
    </row>
    <row r="21" ht="12.75" customHeight="1">
      <c r="B21" s="51" t="s">
        <v>19</v>
      </c>
      <c r="C21" s="131">
        <f>SUM('cálculo'!AO7:'cálculo'!AO150)</f>
        <v>59.5</v>
      </c>
      <c r="D21" s="131">
        <f>SUM('cálculo'!AO151:'cálculo'!AO166)</f>
        <v>29</v>
      </c>
      <c r="E21" s="1"/>
      <c r="F21" s="131">
        <f>OITAVAS!AR20+OITAVAS!AR44</f>
        <v>8</v>
      </c>
      <c r="G21" s="9">
        <f>+COUNTIF(OITAVAS!$C44:$AP44,Pesos!$N$6)+COUNTIF(OITAVAS!$C20:$AP20,Pesos!$N$6)+COUNTIF(OITAVAS!$C44:$AP44,Pesos!$N$6*2)+COUNTIF(OITAVAS!$C20:$AP20,Pesos!$N$6*2)</f>
        <v>1</v>
      </c>
      <c r="H21" s="9">
        <f>COUNTIF(OITAVAS!C68:AP68,3)+COUNTIF(OITAVAS!C68:AP68,6)</f>
        <v>6</v>
      </c>
      <c r="I21" s="71">
        <f>IF(OITAVAS!$D115=0,0,1)</f>
        <v>1</v>
      </c>
      <c r="J21" s="111"/>
      <c r="K21" s="131">
        <f>QUARTAS!AR20+QUARTAS!AR44</f>
        <v>0</v>
      </c>
      <c r="L21" s="71">
        <f>+COUNTIF(QUARTAS!$C44:$AP44,Pesos!$O$6)+COUNTIF(QUARTAS!$C20:$AP20,Pesos!$O$6)+COUNTIF(QUARTAS!$C44:$AP44,Pesos!$O$6*2)+COUNTIF(QUARTAS!$C20:$AP20,Pesos!$O$6*2)</f>
        <v>0</v>
      </c>
      <c r="M21" s="111"/>
      <c r="N21" s="131" t="str">
        <f>SEMI!#REF!</f>
        <v>#ERROR!</v>
      </c>
      <c r="O21" s="71" t="str">
        <f>+COUNTIF(SEMI!#REF!,Pesos!$O$5)+COUNTIF(SEMI!#REF!,Pesos!$O$5)+COUNTIF(SEMI!#REF!,Pesos!$O$5*2)+COUNTIF(SEMI!#REF!,Pesos!$O$5*2)</f>
        <v>#ERROR!</v>
      </c>
      <c r="P21" s="111"/>
      <c r="Q21" s="131" t="str">
        <f>IF(FINAL!#REF!=23.8,1,0)+IF(FINAL!#REF!=5,1,0)</f>
        <v>#ERROR!</v>
      </c>
      <c r="R21" s="71" t="str">
        <f>IF(FINAL!#REF!=23.8,1,0)</f>
        <v>#ERROR!</v>
      </c>
      <c r="S21" s="111"/>
      <c r="T21" s="131" t="str">
        <f>+COUNTIF(OITAVAS!$C40:$AP40,Pesos!$N$6*2)+COUNTIF(OITAVAS!$C16:$AP16,12)+COUNTIF(#REF!,Pesos!$O$6*2)+COUNTIF(#REF!,Pesos!$O$6*2)+COUNTIF(#REF!,Pesos!$O$6*2)+COUNTIF(#REF!,Pesos!$O$6*2)</f>
        <v>#REF!</v>
      </c>
    </row>
    <row r="22" ht="12.75" customHeight="1">
      <c r="B22" s="51" t="s">
        <v>20</v>
      </c>
      <c r="C22" s="131">
        <f>SUM('cálculo'!AP7:'cálculo'!AP150)</f>
        <v>62.9</v>
      </c>
      <c r="D22" s="131">
        <f>SUM('cálculo'!AP151:'cálculo'!AP166)</f>
        <v>16.8</v>
      </c>
      <c r="E22" s="1"/>
      <c r="J22" s="111"/>
      <c r="M22" s="111"/>
      <c r="P22" s="111"/>
      <c r="S22" s="111"/>
    </row>
    <row r="23" ht="12.75" customHeight="1">
      <c r="B23" s="51" t="s">
        <v>21</v>
      </c>
      <c r="C23" s="131">
        <f>SUM('cálculo'!AQ7:'cálculo'!AQ150)</f>
        <v>68.85</v>
      </c>
      <c r="D23" s="131">
        <f>SUM('cálculo'!AQ151:'cálculo'!AQ166)</f>
        <v>21</v>
      </c>
      <c r="E23" s="1"/>
      <c r="J23" s="111"/>
      <c r="M23" s="111"/>
      <c r="P23" s="111"/>
      <c r="S23" s="111"/>
    </row>
    <row r="24" ht="12.75" customHeight="1">
      <c r="C24" s="1"/>
      <c r="D24" s="1"/>
      <c r="E24" s="1"/>
      <c r="J24" s="111"/>
      <c r="M24" s="111"/>
      <c r="P24" s="111"/>
      <c r="S24" s="111"/>
    </row>
    <row r="25" ht="12.75" customHeight="1">
      <c r="C25" s="1"/>
      <c r="D25" s="1"/>
      <c r="E25" s="1"/>
      <c r="J25" s="111"/>
      <c r="M25" s="111"/>
      <c r="P25" s="111"/>
      <c r="S25" s="111"/>
    </row>
    <row r="26" ht="12.75" customHeight="1">
      <c r="C26" s="1"/>
      <c r="D26" s="1"/>
      <c r="E26" s="1"/>
      <c r="J26" s="111"/>
      <c r="M26" s="111"/>
      <c r="P26" s="111"/>
      <c r="S26" s="111"/>
    </row>
    <row r="27" ht="12.75" customHeight="1">
      <c r="C27" s="1"/>
      <c r="D27" s="1"/>
      <c r="E27" s="1"/>
      <c r="J27" s="111"/>
      <c r="M27" s="111"/>
      <c r="P27" s="111"/>
      <c r="S27" s="111"/>
    </row>
    <row r="28" ht="12.75" customHeight="1">
      <c r="C28" s="1"/>
      <c r="D28" s="1"/>
      <c r="E28" s="1"/>
      <c r="J28" s="111"/>
      <c r="M28" s="111"/>
      <c r="P28" s="111"/>
      <c r="S28" s="111"/>
    </row>
    <row r="29" ht="12.75" customHeight="1">
      <c r="C29" s="1"/>
      <c r="D29" s="1"/>
      <c r="E29" s="1"/>
      <c r="J29" s="111"/>
      <c r="M29" s="111"/>
      <c r="P29" s="111"/>
      <c r="S29" s="111"/>
    </row>
    <row r="30" ht="12.75" customHeight="1">
      <c r="C30" s="1"/>
      <c r="D30" s="1"/>
      <c r="E30" s="1"/>
      <c r="J30" s="111"/>
      <c r="M30" s="111"/>
      <c r="P30" s="111"/>
      <c r="S30" s="111"/>
    </row>
    <row r="31" ht="12.75" customHeight="1">
      <c r="C31" s="1"/>
      <c r="D31" s="1"/>
      <c r="E31" s="1"/>
      <c r="J31" s="111"/>
      <c r="M31" s="111"/>
      <c r="P31" s="111"/>
      <c r="S31" s="111"/>
    </row>
    <row r="32" ht="12.75" customHeight="1">
      <c r="C32" s="1"/>
      <c r="D32" s="1"/>
      <c r="E32" s="1"/>
      <c r="J32" s="111"/>
      <c r="M32" s="111"/>
      <c r="P32" s="111"/>
      <c r="S32" s="111"/>
    </row>
    <row r="33" ht="12.75" customHeight="1">
      <c r="C33" s="1"/>
      <c r="D33" s="1"/>
      <c r="E33" s="1"/>
      <c r="J33" s="111"/>
      <c r="M33" s="111"/>
      <c r="P33" s="111"/>
      <c r="S33" s="111"/>
    </row>
    <row r="34" ht="12.75" customHeight="1">
      <c r="C34" s="1"/>
      <c r="D34" s="1"/>
      <c r="E34" s="1"/>
      <c r="J34" s="111"/>
      <c r="M34" s="111"/>
      <c r="P34" s="111"/>
      <c r="S34" s="111"/>
    </row>
    <row r="35" ht="12.75" customHeight="1">
      <c r="C35" s="1"/>
      <c r="D35" s="1"/>
      <c r="E35" s="1"/>
      <c r="J35" s="111"/>
      <c r="M35" s="111"/>
      <c r="P35" s="111"/>
      <c r="S35" s="111"/>
    </row>
    <row r="36" ht="12.75" customHeight="1">
      <c r="C36" s="1"/>
      <c r="D36" s="1"/>
      <c r="E36" s="1"/>
      <c r="J36" s="111"/>
      <c r="M36" s="111"/>
      <c r="P36" s="111"/>
      <c r="S36" s="111"/>
    </row>
    <row r="37" ht="12.75" customHeight="1">
      <c r="C37" s="1"/>
      <c r="D37" s="1"/>
      <c r="E37" s="1"/>
      <c r="J37" s="111"/>
      <c r="M37" s="111"/>
      <c r="P37" s="111"/>
      <c r="S37" s="111"/>
    </row>
    <row r="38" ht="12.75" customHeight="1">
      <c r="C38" s="1"/>
      <c r="D38" s="1"/>
      <c r="E38" s="1"/>
      <c r="J38" s="111"/>
      <c r="M38" s="111"/>
      <c r="P38" s="111"/>
      <c r="S38" s="111"/>
    </row>
    <row r="39" ht="12.75" customHeight="1">
      <c r="C39" s="1"/>
      <c r="D39" s="1"/>
      <c r="E39" s="1"/>
      <c r="J39" s="111"/>
      <c r="M39" s="111"/>
      <c r="P39" s="111"/>
      <c r="S39" s="111"/>
    </row>
    <row r="40" ht="12.75" customHeight="1">
      <c r="C40" s="1"/>
      <c r="D40" s="1"/>
      <c r="E40" s="1"/>
      <c r="J40" s="111"/>
      <c r="M40" s="111"/>
      <c r="P40" s="111"/>
      <c r="S40" s="111"/>
    </row>
    <row r="41" ht="12.75" customHeight="1">
      <c r="C41" s="1"/>
      <c r="D41" s="1"/>
      <c r="E41" s="1"/>
      <c r="J41" s="111"/>
      <c r="M41" s="111"/>
      <c r="P41" s="111"/>
      <c r="S41" s="111"/>
    </row>
    <row r="42" ht="12.75" customHeight="1">
      <c r="C42" s="1"/>
      <c r="D42" s="1"/>
      <c r="E42" s="1"/>
      <c r="J42" s="111"/>
      <c r="M42" s="111"/>
      <c r="P42" s="111"/>
      <c r="S42" s="111"/>
    </row>
    <row r="43" ht="12.75" customHeight="1">
      <c r="C43" s="1"/>
      <c r="D43" s="1"/>
      <c r="E43" s="1"/>
      <c r="J43" s="111"/>
      <c r="M43" s="111"/>
      <c r="P43" s="111"/>
      <c r="S43" s="111"/>
    </row>
    <row r="44" ht="12.75" customHeight="1">
      <c r="C44" s="1"/>
      <c r="D44" s="1"/>
      <c r="E44" s="1"/>
      <c r="J44" s="111"/>
      <c r="M44" s="111"/>
      <c r="P44" s="111"/>
      <c r="S44" s="111"/>
    </row>
    <row r="45" ht="12.75" customHeight="1">
      <c r="C45" s="1"/>
      <c r="D45" s="1"/>
      <c r="E45" s="1"/>
      <c r="J45" s="111"/>
      <c r="M45" s="111"/>
      <c r="P45" s="111"/>
      <c r="S45" s="111"/>
    </row>
    <row r="46" ht="12.75" customHeight="1">
      <c r="C46" s="1"/>
      <c r="D46" s="1"/>
      <c r="E46" s="1"/>
      <c r="J46" s="111"/>
      <c r="M46" s="111"/>
      <c r="P46" s="111"/>
      <c r="S46" s="111"/>
    </row>
    <row r="47" ht="12.75" customHeight="1">
      <c r="C47" s="1"/>
      <c r="D47" s="1"/>
      <c r="E47" s="1"/>
      <c r="J47" s="111"/>
      <c r="M47" s="111"/>
      <c r="P47" s="111"/>
      <c r="S47" s="111"/>
    </row>
    <row r="48" ht="12.75" customHeight="1">
      <c r="C48" s="1"/>
      <c r="D48" s="1"/>
      <c r="E48" s="1"/>
      <c r="J48" s="111"/>
      <c r="M48" s="111"/>
      <c r="P48" s="111"/>
      <c r="S48" s="111"/>
    </row>
    <row r="49" ht="12.75" customHeight="1">
      <c r="C49" s="1"/>
      <c r="D49" s="1"/>
      <c r="E49" s="1"/>
      <c r="J49" s="111"/>
      <c r="M49" s="111"/>
      <c r="P49" s="111"/>
      <c r="S49" s="111"/>
    </row>
    <row r="50" ht="12.75" customHeight="1">
      <c r="C50" s="1"/>
      <c r="D50" s="1"/>
      <c r="E50" s="1"/>
      <c r="J50" s="111"/>
      <c r="M50" s="111"/>
      <c r="P50" s="111"/>
      <c r="S50" s="111"/>
    </row>
    <row r="51" ht="12.75" customHeight="1">
      <c r="C51" s="1"/>
      <c r="D51" s="1"/>
      <c r="E51" s="1"/>
      <c r="J51" s="111"/>
      <c r="M51" s="111"/>
      <c r="P51" s="111"/>
      <c r="S51" s="111"/>
    </row>
    <row r="52" ht="12.75" customHeight="1">
      <c r="C52" s="1"/>
      <c r="D52" s="1"/>
      <c r="E52" s="1"/>
      <c r="J52" s="111"/>
      <c r="M52" s="111"/>
      <c r="P52" s="111"/>
      <c r="S52" s="111"/>
    </row>
    <row r="53" ht="12.75" customHeight="1">
      <c r="C53" s="1"/>
      <c r="D53" s="1"/>
      <c r="E53" s="1"/>
      <c r="J53" s="111"/>
      <c r="M53" s="111"/>
      <c r="P53" s="111"/>
      <c r="S53" s="111"/>
    </row>
    <row r="54" ht="12.75" customHeight="1">
      <c r="C54" s="1"/>
      <c r="D54" s="1"/>
      <c r="E54" s="1"/>
      <c r="J54" s="111"/>
      <c r="M54" s="111"/>
      <c r="P54" s="111"/>
      <c r="S54" s="111"/>
    </row>
    <row r="55" ht="12.75" customHeight="1">
      <c r="C55" s="1"/>
      <c r="D55" s="1"/>
      <c r="E55" s="1"/>
      <c r="J55" s="111"/>
      <c r="M55" s="111"/>
      <c r="P55" s="111"/>
      <c r="S55" s="111"/>
    </row>
    <row r="56" ht="12.75" customHeight="1">
      <c r="C56" s="1"/>
      <c r="D56" s="1"/>
      <c r="E56" s="1"/>
      <c r="J56" s="111"/>
      <c r="M56" s="111"/>
      <c r="P56" s="111"/>
      <c r="S56" s="111"/>
    </row>
    <row r="57" ht="12.75" customHeight="1">
      <c r="C57" s="1"/>
      <c r="D57" s="1"/>
      <c r="E57" s="1"/>
      <c r="J57" s="111"/>
      <c r="M57" s="111"/>
      <c r="P57" s="111"/>
      <c r="S57" s="111"/>
    </row>
    <row r="58" ht="12.75" customHeight="1">
      <c r="C58" s="1"/>
      <c r="D58" s="1"/>
      <c r="E58" s="1"/>
      <c r="J58" s="111"/>
      <c r="M58" s="111"/>
      <c r="P58" s="111"/>
      <c r="S58" s="111"/>
    </row>
    <row r="59" ht="12.75" customHeight="1">
      <c r="C59" s="1"/>
      <c r="D59" s="1"/>
      <c r="E59" s="1"/>
      <c r="J59" s="111"/>
      <c r="M59" s="111"/>
      <c r="P59" s="111"/>
      <c r="S59" s="111"/>
    </row>
    <row r="60" ht="12.75" customHeight="1">
      <c r="C60" s="1"/>
      <c r="D60" s="1"/>
      <c r="E60" s="1"/>
      <c r="J60" s="111"/>
      <c r="M60" s="111"/>
      <c r="P60" s="111"/>
      <c r="S60" s="111"/>
    </row>
    <row r="61" ht="12.75" customHeight="1">
      <c r="C61" s="1"/>
      <c r="D61" s="1"/>
      <c r="E61" s="1"/>
      <c r="J61" s="111"/>
      <c r="M61" s="111"/>
      <c r="P61" s="111"/>
      <c r="S61" s="111"/>
    </row>
    <row r="62" ht="12.75" customHeight="1">
      <c r="C62" s="1"/>
      <c r="D62" s="1"/>
      <c r="E62" s="1"/>
      <c r="J62" s="111"/>
      <c r="M62" s="111"/>
      <c r="P62" s="111"/>
      <c r="S62" s="111"/>
    </row>
    <row r="63" ht="12.75" customHeight="1">
      <c r="C63" s="1"/>
      <c r="D63" s="1"/>
      <c r="E63" s="1"/>
      <c r="J63" s="111"/>
      <c r="M63" s="111"/>
      <c r="P63" s="111"/>
      <c r="S63" s="111"/>
    </row>
    <row r="64" ht="12.75" customHeight="1">
      <c r="C64" s="1"/>
      <c r="D64" s="1"/>
      <c r="E64" s="1"/>
      <c r="J64" s="111"/>
      <c r="M64" s="111"/>
      <c r="P64" s="111"/>
      <c r="S64" s="111"/>
    </row>
    <row r="65" ht="12.75" customHeight="1">
      <c r="C65" s="1"/>
      <c r="D65" s="1"/>
      <c r="E65" s="1"/>
      <c r="J65" s="111"/>
      <c r="M65" s="111"/>
      <c r="P65" s="111"/>
      <c r="S65" s="111"/>
    </row>
    <row r="66" ht="12.75" customHeight="1">
      <c r="C66" s="1"/>
      <c r="D66" s="1"/>
      <c r="E66" s="1"/>
      <c r="J66" s="111"/>
      <c r="M66" s="111"/>
      <c r="P66" s="111"/>
      <c r="S66" s="111"/>
    </row>
    <row r="67" ht="12.75" customHeight="1">
      <c r="C67" s="1"/>
      <c r="D67" s="1"/>
      <c r="E67" s="1"/>
      <c r="J67" s="111"/>
      <c r="M67" s="111"/>
      <c r="P67" s="111"/>
      <c r="S67" s="111"/>
    </row>
    <row r="68" ht="12.75" customHeight="1">
      <c r="C68" s="1"/>
      <c r="D68" s="1"/>
      <c r="E68" s="1"/>
      <c r="J68" s="111"/>
      <c r="M68" s="111"/>
      <c r="P68" s="111"/>
      <c r="S68" s="111"/>
    </row>
    <row r="69" ht="12.75" customHeight="1">
      <c r="C69" s="1"/>
      <c r="D69" s="1"/>
      <c r="E69" s="1"/>
      <c r="J69" s="111"/>
      <c r="M69" s="111"/>
      <c r="P69" s="111"/>
      <c r="S69" s="111"/>
    </row>
    <row r="70" ht="12.75" customHeight="1">
      <c r="C70" s="1"/>
      <c r="D70" s="1"/>
      <c r="E70" s="1"/>
      <c r="J70" s="111"/>
      <c r="M70" s="111"/>
      <c r="P70" s="111"/>
      <c r="S70" s="111"/>
    </row>
    <row r="71" ht="12.75" customHeight="1">
      <c r="C71" s="1"/>
      <c r="D71" s="1"/>
      <c r="E71" s="1"/>
      <c r="J71" s="111"/>
      <c r="M71" s="111"/>
      <c r="P71" s="111"/>
      <c r="S71" s="111"/>
    </row>
    <row r="72" ht="12.75" customHeight="1">
      <c r="C72" s="1"/>
      <c r="D72" s="1"/>
      <c r="E72" s="1"/>
      <c r="J72" s="111"/>
      <c r="M72" s="111"/>
      <c r="P72" s="111"/>
      <c r="S72" s="111"/>
    </row>
    <row r="73" ht="12.75" customHeight="1">
      <c r="C73" s="1"/>
      <c r="D73" s="1"/>
      <c r="E73" s="1"/>
      <c r="J73" s="111"/>
      <c r="M73" s="111"/>
      <c r="P73" s="111"/>
      <c r="S73" s="111"/>
    </row>
    <row r="74" ht="12.75" customHeight="1">
      <c r="C74" s="1"/>
      <c r="D74" s="1"/>
      <c r="E74" s="1"/>
      <c r="J74" s="111"/>
      <c r="M74" s="111"/>
      <c r="P74" s="111"/>
      <c r="S74" s="111"/>
    </row>
    <row r="75" ht="12.75" customHeight="1">
      <c r="C75" s="1"/>
      <c r="D75" s="1"/>
      <c r="E75" s="1"/>
      <c r="J75" s="111"/>
      <c r="M75" s="111"/>
      <c r="P75" s="111"/>
      <c r="S75" s="111"/>
    </row>
    <row r="76" ht="12.75" customHeight="1">
      <c r="C76" s="1"/>
      <c r="D76" s="1"/>
      <c r="E76" s="1"/>
      <c r="J76" s="111"/>
      <c r="M76" s="111"/>
      <c r="P76" s="111"/>
      <c r="S76" s="111"/>
    </row>
    <row r="77" ht="12.75" customHeight="1">
      <c r="C77" s="1"/>
      <c r="D77" s="1"/>
      <c r="E77" s="1"/>
      <c r="J77" s="111"/>
      <c r="M77" s="111"/>
      <c r="P77" s="111"/>
      <c r="S77" s="111"/>
    </row>
    <row r="78" ht="12.75" customHeight="1">
      <c r="C78" s="1"/>
      <c r="D78" s="1"/>
      <c r="E78" s="1"/>
      <c r="J78" s="111"/>
      <c r="M78" s="111"/>
      <c r="P78" s="111"/>
      <c r="S78" s="111"/>
    </row>
    <row r="79" ht="12.75" customHeight="1">
      <c r="C79" s="1"/>
      <c r="D79" s="1"/>
      <c r="E79" s="1"/>
      <c r="J79" s="111"/>
      <c r="M79" s="111"/>
      <c r="P79" s="111"/>
      <c r="S79" s="111"/>
    </row>
    <row r="80" ht="12.75" customHeight="1">
      <c r="C80" s="1"/>
      <c r="D80" s="1"/>
      <c r="E80" s="1"/>
      <c r="J80" s="111"/>
      <c r="M80" s="111"/>
      <c r="P80" s="111"/>
      <c r="S80" s="111"/>
    </row>
    <row r="81" ht="12.75" customHeight="1">
      <c r="C81" s="1"/>
      <c r="D81" s="1"/>
      <c r="E81" s="1"/>
      <c r="J81" s="111"/>
      <c r="M81" s="111"/>
      <c r="P81" s="111"/>
      <c r="S81" s="111"/>
    </row>
    <row r="82" ht="12.75" customHeight="1">
      <c r="C82" s="1"/>
      <c r="D82" s="1"/>
      <c r="E82" s="1"/>
      <c r="J82" s="111"/>
      <c r="M82" s="111"/>
      <c r="P82" s="111"/>
      <c r="S82" s="111"/>
    </row>
    <row r="83" ht="12.75" customHeight="1">
      <c r="C83" s="1"/>
      <c r="D83" s="1"/>
      <c r="E83" s="1"/>
      <c r="J83" s="111"/>
      <c r="M83" s="111"/>
      <c r="P83" s="111"/>
      <c r="S83" s="111"/>
    </row>
    <row r="84" ht="12.75" customHeight="1">
      <c r="C84" s="1"/>
      <c r="D84" s="1"/>
      <c r="E84" s="1"/>
      <c r="J84" s="111"/>
      <c r="M84" s="111"/>
      <c r="P84" s="111"/>
      <c r="S84" s="111"/>
    </row>
    <row r="85" ht="12.75" customHeight="1">
      <c r="C85" s="1"/>
      <c r="D85" s="1"/>
      <c r="E85" s="1"/>
      <c r="J85" s="111"/>
      <c r="M85" s="111"/>
      <c r="P85" s="111"/>
      <c r="S85" s="111"/>
    </row>
    <row r="86" ht="12.75" customHeight="1">
      <c r="C86" s="1"/>
      <c r="D86" s="1"/>
      <c r="E86" s="1"/>
      <c r="J86" s="111"/>
      <c r="M86" s="111"/>
      <c r="P86" s="111"/>
      <c r="S86" s="111"/>
    </row>
    <row r="87" ht="12.75" customHeight="1">
      <c r="C87" s="1"/>
      <c r="D87" s="1"/>
      <c r="E87" s="1"/>
      <c r="J87" s="111"/>
      <c r="M87" s="111"/>
      <c r="P87" s="111"/>
      <c r="S87" s="111"/>
    </row>
    <row r="88" ht="12.75" customHeight="1">
      <c r="C88" s="1"/>
      <c r="D88" s="1"/>
      <c r="E88" s="1"/>
      <c r="J88" s="111"/>
      <c r="M88" s="111"/>
      <c r="P88" s="111"/>
      <c r="S88" s="111"/>
    </row>
    <row r="89" ht="12.75" customHeight="1">
      <c r="C89" s="1"/>
      <c r="D89" s="1"/>
      <c r="E89" s="1"/>
      <c r="J89" s="111"/>
      <c r="M89" s="111"/>
      <c r="P89" s="111"/>
      <c r="S89" s="111"/>
    </row>
    <row r="90" ht="12.75" customHeight="1">
      <c r="C90" s="1"/>
      <c r="D90" s="1"/>
      <c r="E90" s="1"/>
      <c r="J90" s="111"/>
      <c r="M90" s="111"/>
      <c r="P90" s="111"/>
      <c r="S90" s="111"/>
    </row>
    <row r="91" ht="12.75" customHeight="1">
      <c r="C91" s="1"/>
      <c r="D91" s="1"/>
      <c r="E91" s="1"/>
      <c r="J91" s="111"/>
      <c r="M91" s="111"/>
      <c r="P91" s="111"/>
      <c r="S91" s="111"/>
    </row>
    <row r="92" ht="12.75" customHeight="1">
      <c r="C92" s="1"/>
      <c r="D92" s="1"/>
      <c r="E92" s="1"/>
      <c r="J92" s="111"/>
      <c r="M92" s="111"/>
      <c r="P92" s="111"/>
      <c r="S92" s="111"/>
    </row>
    <row r="93" ht="12.75" customHeight="1">
      <c r="C93" s="1"/>
      <c r="D93" s="1"/>
      <c r="E93" s="1"/>
      <c r="J93" s="111"/>
      <c r="M93" s="111"/>
      <c r="P93" s="111"/>
      <c r="S93" s="111"/>
    </row>
    <row r="94" ht="12.75" customHeight="1">
      <c r="C94" s="1"/>
      <c r="D94" s="1"/>
      <c r="E94" s="1"/>
      <c r="J94" s="111"/>
      <c r="M94" s="111"/>
      <c r="P94" s="111"/>
      <c r="S94" s="111"/>
    </row>
    <row r="95" ht="12.75" customHeight="1">
      <c r="C95" s="1"/>
      <c r="D95" s="1"/>
      <c r="E95" s="1"/>
      <c r="J95" s="111"/>
      <c r="M95" s="111"/>
      <c r="P95" s="111"/>
      <c r="S95" s="111"/>
    </row>
    <row r="96" ht="12.75" customHeight="1">
      <c r="C96" s="1"/>
      <c r="D96" s="1"/>
      <c r="E96" s="1"/>
      <c r="J96" s="111"/>
      <c r="M96" s="111"/>
      <c r="P96" s="111"/>
      <c r="S96" s="111"/>
    </row>
    <row r="97" ht="12.75" customHeight="1">
      <c r="C97" s="1"/>
      <c r="D97" s="1"/>
      <c r="E97" s="1"/>
      <c r="J97" s="111"/>
      <c r="M97" s="111"/>
      <c r="P97" s="111"/>
      <c r="S97" s="111"/>
    </row>
    <row r="98" ht="12.75" customHeight="1">
      <c r="C98" s="1"/>
      <c r="D98" s="1"/>
      <c r="E98" s="1"/>
      <c r="J98" s="111"/>
      <c r="M98" s="111"/>
      <c r="P98" s="111"/>
      <c r="S98" s="111"/>
    </row>
    <row r="99" ht="12.75" customHeight="1">
      <c r="C99" s="1"/>
      <c r="D99" s="1"/>
      <c r="E99" s="1"/>
      <c r="J99" s="111"/>
      <c r="M99" s="111"/>
      <c r="P99" s="111"/>
      <c r="S99" s="111"/>
    </row>
    <row r="100" ht="12.75" customHeight="1">
      <c r="C100" s="1"/>
      <c r="D100" s="1"/>
      <c r="E100" s="1"/>
      <c r="J100" s="111"/>
      <c r="M100" s="111"/>
      <c r="P100" s="111"/>
      <c r="S100" s="111"/>
    </row>
    <row r="101" ht="12.75" customHeight="1">
      <c r="C101" s="1"/>
      <c r="D101" s="1"/>
      <c r="E101" s="1"/>
      <c r="J101" s="111"/>
      <c r="M101" s="111"/>
      <c r="P101" s="111"/>
      <c r="S101" s="111"/>
    </row>
    <row r="102" ht="12.75" customHeight="1">
      <c r="C102" s="1"/>
      <c r="D102" s="1"/>
      <c r="E102" s="1"/>
      <c r="J102" s="111"/>
      <c r="M102" s="111"/>
      <c r="P102" s="111"/>
      <c r="S102" s="111"/>
    </row>
    <row r="103" ht="12.75" customHeight="1">
      <c r="C103" s="1"/>
      <c r="D103" s="1"/>
      <c r="E103" s="1"/>
      <c r="J103" s="111"/>
      <c r="M103" s="111"/>
      <c r="P103" s="111"/>
      <c r="S103" s="111"/>
    </row>
    <row r="104" ht="12.75" customHeight="1">
      <c r="C104" s="1"/>
      <c r="D104" s="1"/>
      <c r="E104" s="1"/>
      <c r="J104" s="111"/>
      <c r="M104" s="111"/>
      <c r="P104" s="111"/>
      <c r="S104" s="111"/>
    </row>
    <row r="105" ht="12.75" customHeight="1">
      <c r="C105" s="1"/>
      <c r="D105" s="1"/>
      <c r="E105" s="1"/>
      <c r="J105" s="111"/>
      <c r="M105" s="111"/>
      <c r="P105" s="111"/>
      <c r="S105" s="111"/>
    </row>
    <row r="106" ht="12.75" customHeight="1">
      <c r="C106" s="1"/>
      <c r="D106" s="1"/>
      <c r="E106" s="1"/>
      <c r="J106" s="111"/>
      <c r="M106" s="111"/>
      <c r="P106" s="111"/>
      <c r="S106" s="111"/>
    </row>
    <row r="107" ht="12.75" customHeight="1">
      <c r="C107" s="1"/>
      <c r="D107" s="1"/>
      <c r="E107" s="1"/>
      <c r="J107" s="111"/>
      <c r="M107" s="111"/>
      <c r="P107" s="111"/>
      <c r="S107" s="111"/>
    </row>
    <row r="108" ht="12.75" customHeight="1">
      <c r="C108" s="1"/>
      <c r="D108" s="1"/>
      <c r="E108" s="1"/>
      <c r="J108" s="111"/>
      <c r="M108" s="111"/>
      <c r="P108" s="111"/>
      <c r="S108" s="111"/>
    </row>
    <row r="109" ht="12.75" customHeight="1">
      <c r="C109" s="1"/>
      <c r="D109" s="1"/>
      <c r="E109" s="1"/>
      <c r="J109" s="111"/>
      <c r="M109" s="111"/>
      <c r="P109" s="111"/>
      <c r="S109" s="111"/>
    </row>
    <row r="110" ht="12.75" customHeight="1">
      <c r="C110" s="1"/>
      <c r="D110" s="1"/>
      <c r="E110" s="1"/>
      <c r="J110" s="111"/>
      <c r="M110" s="111"/>
      <c r="P110" s="111"/>
      <c r="S110" s="111"/>
    </row>
    <row r="111" ht="12.75" customHeight="1">
      <c r="C111" s="1"/>
      <c r="D111" s="1"/>
      <c r="E111" s="1"/>
      <c r="J111" s="111"/>
      <c r="M111" s="111"/>
      <c r="P111" s="111"/>
      <c r="S111" s="111"/>
    </row>
    <row r="112" ht="12.75" customHeight="1">
      <c r="C112" s="1"/>
      <c r="D112" s="1"/>
      <c r="E112" s="1"/>
      <c r="J112" s="111"/>
      <c r="M112" s="111"/>
      <c r="P112" s="111"/>
      <c r="S112" s="111"/>
    </row>
    <row r="113" ht="12.75" customHeight="1">
      <c r="C113" s="1"/>
      <c r="D113" s="1"/>
      <c r="E113" s="1"/>
      <c r="J113" s="111"/>
      <c r="M113" s="111"/>
      <c r="P113" s="111"/>
      <c r="S113" s="111"/>
    </row>
    <row r="114" ht="12.75" customHeight="1">
      <c r="C114" s="1"/>
      <c r="D114" s="1"/>
      <c r="E114" s="1"/>
      <c r="J114" s="111"/>
      <c r="M114" s="111"/>
      <c r="P114" s="111"/>
      <c r="S114" s="111"/>
    </row>
    <row r="115" ht="12.75" customHeight="1">
      <c r="C115" s="1"/>
      <c r="D115" s="1"/>
      <c r="E115" s="1"/>
      <c r="J115" s="111"/>
      <c r="M115" s="111"/>
      <c r="P115" s="111"/>
      <c r="S115" s="111"/>
    </row>
    <row r="116" ht="12.75" customHeight="1">
      <c r="C116" s="1"/>
      <c r="D116" s="1"/>
      <c r="E116" s="1"/>
      <c r="J116" s="111"/>
      <c r="M116" s="111"/>
      <c r="P116" s="111"/>
      <c r="S116" s="111"/>
    </row>
    <row r="117" ht="12.75" customHeight="1">
      <c r="C117" s="1"/>
      <c r="D117" s="1"/>
      <c r="E117" s="1"/>
      <c r="J117" s="111"/>
      <c r="M117" s="111"/>
      <c r="P117" s="111"/>
      <c r="S117" s="111"/>
    </row>
    <row r="118" ht="12.75" customHeight="1">
      <c r="C118" s="1"/>
      <c r="D118" s="1"/>
      <c r="E118" s="1"/>
      <c r="J118" s="111"/>
      <c r="M118" s="111"/>
      <c r="P118" s="111"/>
      <c r="S118" s="111"/>
    </row>
    <row r="119" ht="12.75" customHeight="1">
      <c r="C119" s="1"/>
      <c r="D119" s="1"/>
      <c r="E119" s="1"/>
      <c r="J119" s="111"/>
      <c r="M119" s="111"/>
      <c r="P119" s="111"/>
      <c r="S119" s="111"/>
    </row>
    <row r="120" ht="12.75" customHeight="1">
      <c r="C120" s="1"/>
      <c r="D120" s="1"/>
      <c r="E120" s="1"/>
      <c r="J120" s="111"/>
      <c r="M120" s="111"/>
      <c r="P120" s="111"/>
      <c r="S120" s="111"/>
    </row>
    <row r="121" ht="12.75" customHeight="1">
      <c r="C121" s="1"/>
      <c r="D121" s="1"/>
      <c r="E121" s="1"/>
      <c r="J121" s="111"/>
      <c r="M121" s="111"/>
      <c r="P121" s="111"/>
      <c r="S121" s="111"/>
    </row>
    <row r="122" ht="12.75" customHeight="1">
      <c r="C122" s="1"/>
      <c r="D122" s="1"/>
      <c r="E122" s="1"/>
      <c r="J122" s="111"/>
      <c r="M122" s="111"/>
      <c r="P122" s="111"/>
      <c r="S122" s="111"/>
    </row>
    <row r="123" ht="12.75" customHeight="1">
      <c r="C123" s="1"/>
      <c r="D123" s="1"/>
      <c r="E123" s="1"/>
      <c r="J123" s="111"/>
      <c r="M123" s="111"/>
      <c r="P123" s="111"/>
      <c r="S123" s="111"/>
    </row>
    <row r="124" ht="12.75" customHeight="1">
      <c r="C124" s="1"/>
      <c r="D124" s="1"/>
      <c r="E124" s="1"/>
      <c r="J124" s="111"/>
      <c r="M124" s="111"/>
      <c r="P124" s="111"/>
      <c r="S124" s="111"/>
    </row>
    <row r="125" ht="12.75" customHeight="1">
      <c r="C125" s="1"/>
      <c r="D125" s="1"/>
      <c r="E125" s="1"/>
      <c r="J125" s="111"/>
      <c r="M125" s="111"/>
      <c r="P125" s="111"/>
      <c r="S125" s="111"/>
    </row>
    <row r="126" ht="12.75" customHeight="1">
      <c r="C126" s="1"/>
      <c r="D126" s="1"/>
      <c r="E126" s="1"/>
      <c r="J126" s="111"/>
      <c r="M126" s="111"/>
      <c r="P126" s="111"/>
      <c r="S126" s="111"/>
    </row>
    <row r="127" ht="12.75" customHeight="1">
      <c r="C127" s="1"/>
      <c r="D127" s="1"/>
      <c r="E127" s="1"/>
      <c r="J127" s="111"/>
      <c r="M127" s="111"/>
      <c r="P127" s="111"/>
      <c r="S127" s="111"/>
    </row>
    <row r="128" ht="12.75" customHeight="1">
      <c r="C128" s="1"/>
      <c r="D128" s="1"/>
      <c r="E128" s="1"/>
      <c r="J128" s="111"/>
      <c r="M128" s="111"/>
      <c r="P128" s="111"/>
      <c r="S128" s="111"/>
    </row>
    <row r="129" ht="12.75" customHeight="1">
      <c r="C129" s="1"/>
      <c r="D129" s="1"/>
      <c r="E129" s="1"/>
      <c r="J129" s="111"/>
      <c r="M129" s="111"/>
      <c r="P129" s="111"/>
      <c r="S129" s="111"/>
    </row>
    <row r="130" ht="12.75" customHeight="1">
      <c r="C130" s="1"/>
      <c r="D130" s="1"/>
      <c r="E130" s="1"/>
      <c r="J130" s="111"/>
      <c r="M130" s="111"/>
      <c r="P130" s="111"/>
      <c r="S130" s="111"/>
    </row>
    <row r="131" ht="12.75" customHeight="1">
      <c r="C131" s="1"/>
      <c r="D131" s="1"/>
      <c r="E131" s="1"/>
      <c r="J131" s="111"/>
      <c r="M131" s="111"/>
      <c r="P131" s="111"/>
      <c r="S131" s="111"/>
    </row>
    <row r="132" ht="12.75" customHeight="1">
      <c r="C132" s="1"/>
      <c r="D132" s="1"/>
      <c r="E132" s="1"/>
      <c r="J132" s="111"/>
      <c r="M132" s="111"/>
      <c r="P132" s="111"/>
      <c r="S132" s="111"/>
    </row>
    <row r="133" ht="12.75" customHeight="1">
      <c r="C133" s="1"/>
      <c r="D133" s="1"/>
      <c r="E133" s="1"/>
      <c r="J133" s="111"/>
      <c r="M133" s="111"/>
      <c r="P133" s="111"/>
      <c r="S133" s="111"/>
    </row>
    <row r="134" ht="12.75" customHeight="1">
      <c r="C134" s="1"/>
      <c r="D134" s="1"/>
      <c r="E134" s="1"/>
      <c r="J134" s="111"/>
      <c r="M134" s="111"/>
      <c r="P134" s="111"/>
      <c r="S134" s="111"/>
    </row>
    <row r="135" ht="12.75" customHeight="1">
      <c r="C135" s="1"/>
      <c r="D135" s="1"/>
      <c r="E135" s="1"/>
      <c r="J135" s="111"/>
      <c r="M135" s="111"/>
      <c r="P135" s="111"/>
      <c r="S135" s="111"/>
    </row>
    <row r="136" ht="12.75" customHeight="1">
      <c r="C136" s="1"/>
      <c r="D136" s="1"/>
      <c r="E136" s="1"/>
      <c r="J136" s="111"/>
      <c r="M136" s="111"/>
      <c r="P136" s="111"/>
      <c r="S136" s="111"/>
    </row>
    <row r="137" ht="12.75" customHeight="1">
      <c r="C137" s="1"/>
      <c r="D137" s="1"/>
      <c r="E137" s="1"/>
      <c r="J137" s="111"/>
      <c r="M137" s="111"/>
      <c r="P137" s="111"/>
      <c r="S137" s="111"/>
    </row>
    <row r="138" ht="12.75" customHeight="1">
      <c r="C138" s="1"/>
      <c r="D138" s="1"/>
      <c r="E138" s="1"/>
      <c r="J138" s="111"/>
      <c r="M138" s="111"/>
      <c r="P138" s="111"/>
      <c r="S138" s="111"/>
    </row>
    <row r="139" ht="12.75" customHeight="1">
      <c r="C139" s="1"/>
      <c r="D139" s="1"/>
      <c r="E139" s="1"/>
      <c r="J139" s="111"/>
      <c r="M139" s="111"/>
      <c r="P139" s="111"/>
      <c r="S139" s="111"/>
    </row>
    <row r="140" ht="12.75" customHeight="1">
      <c r="C140" s="1"/>
      <c r="D140" s="1"/>
      <c r="E140" s="1"/>
      <c r="J140" s="111"/>
      <c r="M140" s="111"/>
      <c r="P140" s="111"/>
      <c r="S140" s="111"/>
    </row>
    <row r="141" ht="12.75" customHeight="1">
      <c r="C141" s="1"/>
      <c r="D141" s="1"/>
      <c r="E141" s="1"/>
      <c r="J141" s="111"/>
      <c r="M141" s="111"/>
      <c r="P141" s="111"/>
      <c r="S141" s="111"/>
    </row>
    <row r="142" ht="12.75" customHeight="1">
      <c r="C142" s="1"/>
      <c r="D142" s="1"/>
      <c r="E142" s="1"/>
      <c r="J142" s="111"/>
      <c r="M142" s="111"/>
      <c r="P142" s="111"/>
      <c r="S142" s="111"/>
    </row>
    <row r="143" ht="12.75" customHeight="1">
      <c r="C143" s="1"/>
      <c r="D143" s="1"/>
      <c r="E143" s="1"/>
      <c r="J143" s="111"/>
      <c r="M143" s="111"/>
      <c r="P143" s="111"/>
      <c r="S143" s="111"/>
    </row>
    <row r="144" ht="12.75" customHeight="1">
      <c r="C144" s="1"/>
      <c r="D144" s="1"/>
      <c r="E144" s="1"/>
      <c r="J144" s="111"/>
      <c r="M144" s="111"/>
      <c r="P144" s="111"/>
      <c r="S144" s="111"/>
    </row>
    <row r="145" ht="12.75" customHeight="1">
      <c r="C145" s="1"/>
      <c r="D145" s="1"/>
      <c r="E145" s="1"/>
      <c r="J145" s="111"/>
      <c r="M145" s="111"/>
      <c r="P145" s="111"/>
      <c r="S145" s="111"/>
    </row>
    <row r="146" ht="12.75" customHeight="1">
      <c r="C146" s="1"/>
      <c r="D146" s="1"/>
      <c r="E146" s="1"/>
      <c r="J146" s="111"/>
      <c r="M146" s="111"/>
      <c r="P146" s="111"/>
      <c r="S146" s="111"/>
    </row>
    <row r="147" ht="12.75" customHeight="1">
      <c r="C147" s="1"/>
      <c r="D147" s="1"/>
      <c r="E147" s="1"/>
      <c r="J147" s="111"/>
      <c r="M147" s="111"/>
      <c r="P147" s="111"/>
      <c r="S147" s="111"/>
    </row>
    <row r="148" ht="12.75" customHeight="1">
      <c r="C148" s="1"/>
      <c r="D148" s="1"/>
      <c r="E148" s="1"/>
      <c r="J148" s="111"/>
      <c r="M148" s="111"/>
      <c r="P148" s="111"/>
      <c r="S148" s="111"/>
    </row>
    <row r="149" ht="12.75" customHeight="1">
      <c r="C149" s="1"/>
      <c r="D149" s="1"/>
      <c r="E149" s="1"/>
      <c r="J149" s="111"/>
      <c r="M149" s="111"/>
      <c r="P149" s="111"/>
      <c r="S149" s="111"/>
    </row>
    <row r="150" ht="12.75" customHeight="1">
      <c r="C150" s="1"/>
      <c r="D150" s="1"/>
      <c r="E150" s="1"/>
      <c r="J150" s="111"/>
      <c r="M150" s="111"/>
      <c r="P150" s="111"/>
      <c r="S150" s="111"/>
    </row>
    <row r="151" ht="12.75" customHeight="1">
      <c r="C151" s="1"/>
      <c r="D151" s="1"/>
      <c r="E151" s="1"/>
      <c r="J151" s="111"/>
      <c r="M151" s="111"/>
      <c r="P151" s="111"/>
      <c r="S151" s="111"/>
    </row>
    <row r="152" ht="12.75" customHeight="1">
      <c r="C152" s="1"/>
      <c r="D152" s="1"/>
      <c r="E152" s="1"/>
      <c r="J152" s="111"/>
      <c r="M152" s="111"/>
      <c r="P152" s="111"/>
      <c r="S152" s="111"/>
    </row>
    <row r="153" ht="12.75" customHeight="1">
      <c r="C153" s="1"/>
      <c r="D153" s="1"/>
      <c r="E153" s="1"/>
      <c r="J153" s="111"/>
      <c r="M153" s="111"/>
      <c r="P153" s="111"/>
      <c r="S153" s="111"/>
    </row>
    <row r="154" ht="12.75" customHeight="1">
      <c r="C154" s="1"/>
      <c r="D154" s="1"/>
      <c r="E154" s="1"/>
      <c r="J154" s="111"/>
      <c r="M154" s="111"/>
      <c r="P154" s="111"/>
      <c r="S154" s="111"/>
    </row>
    <row r="155" ht="12.75" customHeight="1">
      <c r="C155" s="1"/>
      <c r="D155" s="1"/>
      <c r="E155" s="1"/>
      <c r="J155" s="111"/>
      <c r="M155" s="111"/>
      <c r="P155" s="111"/>
      <c r="S155" s="111"/>
    </row>
    <row r="156" ht="12.75" customHeight="1">
      <c r="C156" s="1"/>
      <c r="D156" s="1"/>
      <c r="E156" s="1"/>
      <c r="J156" s="111"/>
      <c r="M156" s="111"/>
      <c r="P156" s="111"/>
      <c r="S156" s="111"/>
    </row>
    <row r="157" ht="12.75" customHeight="1">
      <c r="C157" s="1"/>
      <c r="D157" s="1"/>
      <c r="E157" s="1"/>
      <c r="J157" s="111"/>
      <c r="M157" s="111"/>
      <c r="P157" s="111"/>
      <c r="S157" s="111"/>
    </row>
    <row r="158" ht="12.75" customHeight="1">
      <c r="C158" s="1"/>
      <c r="D158" s="1"/>
      <c r="E158" s="1"/>
      <c r="J158" s="111"/>
      <c r="M158" s="111"/>
      <c r="P158" s="111"/>
      <c r="S158" s="111"/>
    </row>
    <row r="159" ht="12.75" customHeight="1">
      <c r="C159" s="1"/>
      <c r="D159" s="1"/>
      <c r="E159" s="1"/>
      <c r="J159" s="111"/>
      <c r="M159" s="111"/>
      <c r="P159" s="111"/>
      <c r="S159" s="111"/>
    </row>
    <row r="160" ht="12.75" customHeight="1">
      <c r="C160" s="1"/>
      <c r="D160" s="1"/>
      <c r="E160" s="1"/>
      <c r="J160" s="111"/>
      <c r="M160" s="111"/>
      <c r="P160" s="111"/>
      <c r="S160" s="111"/>
    </row>
    <row r="161" ht="12.75" customHeight="1">
      <c r="C161" s="1"/>
      <c r="D161" s="1"/>
      <c r="E161" s="1"/>
      <c r="J161" s="111"/>
      <c r="M161" s="111"/>
      <c r="P161" s="111"/>
      <c r="S161" s="111"/>
    </row>
    <row r="162" ht="12.75" customHeight="1">
      <c r="C162" s="1"/>
      <c r="D162" s="1"/>
      <c r="E162" s="1"/>
      <c r="J162" s="111"/>
      <c r="M162" s="111"/>
      <c r="P162" s="111"/>
      <c r="S162" s="111"/>
    </row>
    <row r="163" ht="12.75" customHeight="1">
      <c r="C163" s="1"/>
      <c r="D163" s="1"/>
      <c r="E163" s="1"/>
      <c r="J163" s="111"/>
      <c r="M163" s="111"/>
      <c r="P163" s="111"/>
      <c r="S163" s="111"/>
    </row>
    <row r="164" ht="12.75" customHeight="1">
      <c r="C164" s="1"/>
      <c r="D164" s="1"/>
      <c r="E164" s="1"/>
      <c r="J164" s="111"/>
      <c r="M164" s="111"/>
      <c r="P164" s="111"/>
      <c r="S164" s="111"/>
    </row>
    <row r="165" ht="12.75" customHeight="1">
      <c r="C165" s="1"/>
      <c r="D165" s="1"/>
      <c r="E165" s="1"/>
      <c r="J165" s="111"/>
      <c r="M165" s="111"/>
      <c r="P165" s="111"/>
      <c r="S165" s="111"/>
    </row>
    <row r="166" ht="12.75" customHeight="1">
      <c r="C166" s="1"/>
      <c r="D166" s="1"/>
      <c r="E166" s="1"/>
      <c r="J166" s="111"/>
      <c r="M166" s="111"/>
      <c r="P166" s="111"/>
      <c r="S166" s="111"/>
    </row>
    <row r="167" ht="12.75" customHeight="1">
      <c r="C167" s="1"/>
      <c r="D167" s="1"/>
      <c r="E167" s="1"/>
      <c r="J167" s="111"/>
      <c r="M167" s="111"/>
      <c r="P167" s="111"/>
      <c r="S167" s="111"/>
    </row>
    <row r="168" ht="12.75" customHeight="1">
      <c r="C168" s="1"/>
      <c r="D168" s="1"/>
      <c r="E168" s="1"/>
      <c r="J168" s="111"/>
      <c r="M168" s="111"/>
      <c r="P168" s="111"/>
      <c r="S168" s="111"/>
    </row>
    <row r="169" ht="12.75" customHeight="1">
      <c r="C169" s="1"/>
      <c r="D169" s="1"/>
      <c r="E169" s="1"/>
      <c r="J169" s="111"/>
      <c r="M169" s="111"/>
      <c r="P169" s="111"/>
      <c r="S169" s="111"/>
    </row>
    <row r="170" ht="12.75" customHeight="1">
      <c r="C170" s="1"/>
      <c r="D170" s="1"/>
      <c r="E170" s="1"/>
      <c r="J170" s="111"/>
      <c r="M170" s="111"/>
      <c r="P170" s="111"/>
      <c r="S170" s="111"/>
    </row>
    <row r="171" ht="12.75" customHeight="1">
      <c r="C171" s="1"/>
      <c r="D171" s="1"/>
      <c r="E171" s="1"/>
      <c r="J171" s="111"/>
      <c r="M171" s="111"/>
      <c r="P171" s="111"/>
      <c r="S171" s="111"/>
    </row>
    <row r="172" ht="12.75" customHeight="1">
      <c r="C172" s="1"/>
      <c r="D172" s="1"/>
      <c r="E172" s="1"/>
      <c r="J172" s="111"/>
      <c r="M172" s="111"/>
      <c r="P172" s="111"/>
      <c r="S172" s="111"/>
    </row>
    <row r="173" ht="12.75" customHeight="1">
      <c r="C173" s="1"/>
      <c r="D173" s="1"/>
      <c r="E173" s="1"/>
      <c r="J173" s="111"/>
      <c r="M173" s="111"/>
      <c r="P173" s="111"/>
      <c r="S173" s="111"/>
    </row>
    <row r="174" ht="12.75" customHeight="1">
      <c r="C174" s="1"/>
      <c r="D174" s="1"/>
      <c r="E174" s="1"/>
      <c r="J174" s="111"/>
      <c r="M174" s="111"/>
      <c r="P174" s="111"/>
      <c r="S174" s="111"/>
    </row>
    <row r="175" ht="12.75" customHeight="1">
      <c r="C175" s="1"/>
      <c r="D175" s="1"/>
      <c r="E175" s="1"/>
      <c r="J175" s="111"/>
      <c r="M175" s="111"/>
      <c r="P175" s="111"/>
      <c r="S175" s="111"/>
    </row>
    <row r="176" ht="12.75" customHeight="1">
      <c r="C176" s="1"/>
      <c r="D176" s="1"/>
      <c r="E176" s="1"/>
      <c r="J176" s="111"/>
      <c r="M176" s="111"/>
      <c r="P176" s="111"/>
      <c r="S176" s="111"/>
    </row>
    <row r="177" ht="12.75" customHeight="1">
      <c r="C177" s="1"/>
      <c r="D177" s="1"/>
      <c r="E177" s="1"/>
      <c r="J177" s="111"/>
      <c r="M177" s="111"/>
      <c r="P177" s="111"/>
      <c r="S177" s="111"/>
    </row>
    <row r="178" ht="12.75" customHeight="1">
      <c r="C178" s="1"/>
      <c r="D178" s="1"/>
      <c r="E178" s="1"/>
      <c r="J178" s="111"/>
      <c r="M178" s="111"/>
      <c r="P178" s="111"/>
      <c r="S178" s="111"/>
    </row>
    <row r="179" ht="12.75" customHeight="1">
      <c r="C179" s="1"/>
      <c r="D179" s="1"/>
      <c r="E179" s="1"/>
      <c r="J179" s="111"/>
      <c r="M179" s="111"/>
      <c r="P179" s="111"/>
      <c r="S179" s="111"/>
    </row>
    <row r="180" ht="12.75" customHeight="1">
      <c r="C180" s="1"/>
      <c r="D180" s="1"/>
      <c r="E180" s="1"/>
      <c r="J180" s="111"/>
      <c r="M180" s="111"/>
      <c r="P180" s="111"/>
      <c r="S180" s="111"/>
    </row>
    <row r="181" ht="12.75" customHeight="1">
      <c r="C181" s="1"/>
      <c r="D181" s="1"/>
      <c r="E181" s="1"/>
      <c r="J181" s="111"/>
      <c r="M181" s="111"/>
      <c r="P181" s="111"/>
      <c r="S181" s="111"/>
    </row>
    <row r="182" ht="12.75" customHeight="1">
      <c r="C182" s="1"/>
      <c r="D182" s="1"/>
      <c r="E182" s="1"/>
      <c r="J182" s="111"/>
      <c r="M182" s="111"/>
      <c r="P182" s="111"/>
      <c r="S182" s="111"/>
    </row>
    <row r="183" ht="12.75" customHeight="1">
      <c r="C183" s="1"/>
      <c r="D183" s="1"/>
      <c r="E183" s="1"/>
      <c r="J183" s="111"/>
      <c r="M183" s="111"/>
      <c r="P183" s="111"/>
      <c r="S183" s="111"/>
    </row>
    <row r="184" ht="12.75" customHeight="1">
      <c r="C184" s="1"/>
      <c r="D184" s="1"/>
      <c r="E184" s="1"/>
      <c r="J184" s="111"/>
      <c r="M184" s="111"/>
      <c r="P184" s="111"/>
      <c r="S184" s="111"/>
    </row>
    <row r="185" ht="12.75" customHeight="1">
      <c r="C185" s="1"/>
      <c r="D185" s="1"/>
      <c r="E185" s="1"/>
      <c r="J185" s="111"/>
      <c r="M185" s="111"/>
      <c r="P185" s="111"/>
      <c r="S185" s="111"/>
    </row>
    <row r="186" ht="12.75" customHeight="1">
      <c r="C186" s="1"/>
      <c r="D186" s="1"/>
      <c r="E186" s="1"/>
      <c r="J186" s="111"/>
      <c r="M186" s="111"/>
      <c r="P186" s="111"/>
      <c r="S186" s="111"/>
    </row>
    <row r="187" ht="12.75" customHeight="1">
      <c r="C187" s="1"/>
      <c r="D187" s="1"/>
      <c r="E187" s="1"/>
      <c r="J187" s="111"/>
      <c r="M187" s="111"/>
      <c r="P187" s="111"/>
      <c r="S187" s="111"/>
    </row>
    <row r="188" ht="12.75" customHeight="1">
      <c r="C188" s="1"/>
      <c r="D188" s="1"/>
      <c r="E188" s="1"/>
      <c r="J188" s="111"/>
      <c r="M188" s="111"/>
      <c r="P188" s="111"/>
      <c r="S188" s="111"/>
    </row>
    <row r="189" ht="12.75" customHeight="1">
      <c r="C189" s="1"/>
      <c r="D189" s="1"/>
      <c r="E189" s="1"/>
      <c r="J189" s="111"/>
      <c r="M189" s="111"/>
      <c r="P189" s="111"/>
      <c r="S189" s="111"/>
    </row>
    <row r="190" ht="12.75" customHeight="1">
      <c r="C190" s="1"/>
      <c r="D190" s="1"/>
      <c r="E190" s="1"/>
      <c r="J190" s="111"/>
      <c r="M190" s="111"/>
      <c r="P190" s="111"/>
      <c r="S190" s="111"/>
    </row>
    <row r="191" ht="12.75" customHeight="1">
      <c r="C191" s="1"/>
      <c r="D191" s="1"/>
      <c r="E191" s="1"/>
      <c r="J191" s="111"/>
      <c r="M191" s="111"/>
      <c r="P191" s="111"/>
      <c r="S191" s="111"/>
    </row>
    <row r="192" ht="12.75" customHeight="1">
      <c r="C192" s="1"/>
      <c r="D192" s="1"/>
      <c r="E192" s="1"/>
      <c r="J192" s="111"/>
      <c r="M192" s="111"/>
      <c r="P192" s="111"/>
      <c r="S192" s="111"/>
    </row>
    <row r="193" ht="12.75" customHeight="1">
      <c r="C193" s="1"/>
      <c r="D193" s="1"/>
      <c r="E193" s="1"/>
      <c r="J193" s="111"/>
      <c r="M193" s="111"/>
      <c r="P193" s="111"/>
      <c r="S193" s="111"/>
    </row>
    <row r="194" ht="12.75" customHeight="1">
      <c r="C194" s="1"/>
      <c r="D194" s="1"/>
      <c r="E194" s="1"/>
      <c r="J194" s="111"/>
      <c r="M194" s="111"/>
      <c r="P194" s="111"/>
      <c r="S194" s="111"/>
    </row>
    <row r="195" ht="12.75" customHeight="1">
      <c r="C195" s="1"/>
      <c r="D195" s="1"/>
      <c r="E195" s="1"/>
      <c r="J195" s="111"/>
      <c r="M195" s="111"/>
      <c r="P195" s="111"/>
      <c r="S195" s="111"/>
    </row>
    <row r="196" ht="12.75" customHeight="1">
      <c r="C196" s="1"/>
      <c r="D196" s="1"/>
      <c r="E196" s="1"/>
      <c r="J196" s="111"/>
      <c r="M196" s="111"/>
      <c r="P196" s="111"/>
      <c r="S196" s="111"/>
    </row>
    <row r="197" ht="12.75" customHeight="1">
      <c r="C197" s="1"/>
      <c r="D197" s="1"/>
      <c r="E197" s="1"/>
      <c r="J197" s="111"/>
      <c r="M197" s="111"/>
      <c r="P197" s="111"/>
      <c r="S197" s="111"/>
    </row>
    <row r="198" ht="12.75" customHeight="1">
      <c r="C198" s="1"/>
      <c r="D198" s="1"/>
      <c r="E198" s="1"/>
      <c r="J198" s="111"/>
      <c r="M198" s="111"/>
      <c r="P198" s="111"/>
      <c r="S198" s="111"/>
    </row>
    <row r="199" ht="12.75" customHeight="1">
      <c r="C199" s="1"/>
      <c r="D199" s="1"/>
      <c r="E199" s="1"/>
      <c r="J199" s="111"/>
      <c r="M199" s="111"/>
      <c r="P199" s="111"/>
      <c r="S199" s="111"/>
    </row>
    <row r="200" ht="12.75" customHeight="1">
      <c r="C200" s="1"/>
      <c r="D200" s="1"/>
      <c r="E200" s="1"/>
      <c r="J200" s="111"/>
      <c r="M200" s="111"/>
      <c r="P200" s="111"/>
      <c r="S200" s="111"/>
    </row>
    <row r="201" ht="12.75" customHeight="1">
      <c r="C201" s="1"/>
      <c r="D201" s="1"/>
      <c r="E201" s="1"/>
      <c r="J201" s="111"/>
      <c r="M201" s="111"/>
      <c r="P201" s="111"/>
      <c r="S201" s="111"/>
    </row>
    <row r="202" ht="12.75" customHeight="1">
      <c r="C202" s="1"/>
      <c r="D202" s="1"/>
      <c r="E202" s="1"/>
      <c r="J202" s="111"/>
      <c r="M202" s="111"/>
      <c r="P202" s="111"/>
      <c r="S202" s="111"/>
    </row>
    <row r="203" ht="12.75" customHeight="1">
      <c r="C203" s="1"/>
      <c r="D203" s="1"/>
      <c r="E203" s="1"/>
      <c r="J203" s="111"/>
      <c r="M203" s="111"/>
      <c r="P203" s="111"/>
      <c r="S203" s="111"/>
    </row>
    <row r="204" ht="12.75" customHeight="1">
      <c r="C204" s="1"/>
      <c r="D204" s="1"/>
      <c r="E204" s="1"/>
      <c r="J204" s="111"/>
      <c r="M204" s="111"/>
      <c r="P204" s="111"/>
      <c r="S204" s="111"/>
    </row>
    <row r="205" ht="12.75" customHeight="1">
      <c r="C205" s="1"/>
      <c r="D205" s="1"/>
      <c r="E205" s="1"/>
      <c r="J205" s="111"/>
      <c r="M205" s="111"/>
      <c r="P205" s="111"/>
      <c r="S205" s="111"/>
    </row>
    <row r="206" ht="12.75" customHeight="1">
      <c r="C206" s="1"/>
      <c r="D206" s="1"/>
      <c r="E206" s="1"/>
      <c r="J206" s="111"/>
      <c r="M206" s="111"/>
      <c r="P206" s="111"/>
      <c r="S206" s="111"/>
    </row>
    <row r="207" ht="12.75" customHeight="1">
      <c r="C207" s="1"/>
      <c r="D207" s="1"/>
      <c r="E207" s="1"/>
      <c r="J207" s="111"/>
      <c r="M207" s="111"/>
      <c r="P207" s="111"/>
      <c r="S207" s="111"/>
    </row>
    <row r="208" ht="12.75" customHeight="1">
      <c r="C208" s="1"/>
      <c r="D208" s="1"/>
      <c r="E208" s="1"/>
      <c r="J208" s="111"/>
      <c r="M208" s="111"/>
      <c r="P208" s="111"/>
      <c r="S208" s="111"/>
    </row>
    <row r="209" ht="12.75" customHeight="1">
      <c r="C209" s="1"/>
      <c r="D209" s="1"/>
      <c r="E209" s="1"/>
      <c r="J209" s="111"/>
      <c r="M209" s="111"/>
      <c r="P209" s="111"/>
      <c r="S209" s="111"/>
    </row>
    <row r="210" ht="12.75" customHeight="1">
      <c r="C210" s="1"/>
      <c r="D210" s="1"/>
      <c r="E210" s="1"/>
      <c r="J210" s="111"/>
      <c r="M210" s="111"/>
      <c r="P210" s="111"/>
      <c r="S210" s="111"/>
    </row>
    <row r="211" ht="12.75" customHeight="1">
      <c r="C211" s="1"/>
      <c r="D211" s="1"/>
      <c r="E211" s="1"/>
      <c r="J211" s="111"/>
      <c r="M211" s="111"/>
      <c r="P211" s="111"/>
      <c r="S211" s="111"/>
    </row>
    <row r="212" ht="12.75" customHeight="1">
      <c r="C212" s="1"/>
      <c r="D212" s="1"/>
      <c r="E212" s="1"/>
      <c r="J212" s="111"/>
      <c r="M212" s="111"/>
      <c r="P212" s="111"/>
      <c r="S212" s="111"/>
    </row>
    <row r="213" ht="12.75" customHeight="1">
      <c r="C213" s="1"/>
      <c r="D213" s="1"/>
      <c r="E213" s="1"/>
      <c r="J213" s="111"/>
      <c r="M213" s="111"/>
      <c r="P213" s="111"/>
      <c r="S213" s="111"/>
    </row>
    <row r="214" ht="12.75" customHeight="1">
      <c r="C214" s="1"/>
      <c r="D214" s="1"/>
      <c r="E214" s="1"/>
      <c r="J214" s="111"/>
      <c r="M214" s="111"/>
      <c r="P214" s="111"/>
      <c r="S214" s="111"/>
    </row>
    <row r="215" ht="12.75" customHeight="1">
      <c r="C215" s="1"/>
      <c r="D215" s="1"/>
      <c r="E215" s="1"/>
      <c r="J215" s="111"/>
      <c r="M215" s="111"/>
      <c r="P215" s="111"/>
      <c r="S215" s="111"/>
    </row>
    <row r="216" ht="12.75" customHeight="1">
      <c r="C216" s="1"/>
      <c r="D216" s="1"/>
      <c r="E216" s="1"/>
      <c r="J216" s="111"/>
      <c r="M216" s="111"/>
      <c r="P216" s="111"/>
      <c r="S216" s="111"/>
    </row>
    <row r="217" ht="12.75" customHeight="1">
      <c r="C217" s="1"/>
      <c r="D217" s="1"/>
      <c r="E217" s="1"/>
      <c r="J217" s="111"/>
      <c r="M217" s="111"/>
      <c r="P217" s="111"/>
      <c r="S217" s="111"/>
    </row>
    <row r="218" ht="12.75" customHeight="1">
      <c r="C218" s="1"/>
      <c r="D218" s="1"/>
      <c r="E218" s="1"/>
      <c r="J218" s="111"/>
      <c r="M218" s="111"/>
      <c r="P218" s="111"/>
      <c r="S218" s="111"/>
    </row>
    <row r="219" ht="12.75" customHeight="1">
      <c r="C219" s="1"/>
      <c r="D219" s="1"/>
      <c r="E219" s="1"/>
      <c r="J219" s="111"/>
      <c r="M219" s="111"/>
      <c r="P219" s="111"/>
      <c r="S219" s="111"/>
    </row>
    <row r="220" ht="12.75" customHeight="1">
      <c r="C220" s="1"/>
      <c r="D220" s="1"/>
      <c r="E220" s="1"/>
      <c r="J220" s="111"/>
      <c r="M220" s="111"/>
      <c r="P220" s="111"/>
      <c r="S220" s="111"/>
    </row>
    <row r="221" ht="12.75" customHeight="1">
      <c r="C221" s="1"/>
      <c r="D221" s="1"/>
      <c r="E221" s="1"/>
      <c r="J221" s="111"/>
      <c r="M221" s="111"/>
      <c r="P221" s="111"/>
      <c r="S221" s="111"/>
    </row>
    <row r="222" ht="12.75" customHeight="1">
      <c r="C222" s="1"/>
      <c r="D222" s="1"/>
      <c r="E222" s="1"/>
      <c r="J222" s="111"/>
      <c r="M222" s="111"/>
      <c r="P222" s="111"/>
      <c r="S222" s="111"/>
    </row>
    <row r="223" ht="12.75" customHeight="1">
      <c r="C223" s="1"/>
      <c r="D223" s="1"/>
      <c r="E223" s="1"/>
      <c r="J223" s="111"/>
      <c r="M223" s="111"/>
      <c r="P223" s="111"/>
      <c r="S223" s="111"/>
    </row>
    <row r="224" ht="12.75" customHeight="1">
      <c r="C224" s="1"/>
      <c r="D224" s="1"/>
      <c r="E224" s="1"/>
      <c r="J224" s="111"/>
      <c r="M224" s="111"/>
      <c r="P224" s="111"/>
      <c r="S224" s="111"/>
    </row>
    <row r="225" ht="12.75" customHeight="1">
      <c r="C225" s="1"/>
      <c r="D225" s="1"/>
      <c r="E225" s="1"/>
      <c r="J225" s="111"/>
      <c r="M225" s="111"/>
      <c r="P225" s="111"/>
      <c r="S225" s="111"/>
    </row>
    <row r="226" ht="12.75" customHeight="1">
      <c r="C226" s="1"/>
      <c r="D226" s="1"/>
      <c r="E226" s="1"/>
      <c r="J226" s="111"/>
      <c r="M226" s="111"/>
      <c r="P226" s="111"/>
      <c r="S226" s="111"/>
    </row>
    <row r="227" ht="12.75" customHeight="1">
      <c r="C227" s="1"/>
      <c r="D227" s="1"/>
      <c r="E227" s="1"/>
      <c r="J227" s="111"/>
      <c r="M227" s="111"/>
      <c r="P227" s="111"/>
      <c r="S227" s="111"/>
    </row>
    <row r="228" ht="12.75" customHeight="1">
      <c r="C228" s="1"/>
      <c r="D228" s="1"/>
      <c r="E228" s="1"/>
      <c r="J228" s="111"/>
      <c r="M228" s="111"/>
      <c r="P228" s="111"/>
      <c r="S228" s="111"/>
    </row>
    <row r="229" ht="12.75" customHeight="1">
      <c r="C229" s="1"/>
      <c r="D229" s="1"/>
      <c r="E229" s="1"/>
      <c r="J229" s="111"/>
      <c r="M229" s="111"/>
      <c r="P229" s="111"/>
      <c r="S229" s="111"/>
    </row>
    <row r="230" ht="12.75" customHeight="1">
      <c r="C230" s="1"/>
      <c r="D230" s="1"/>
      <c r="E230" s="1"/>
      <c r="J230" s="111"/>
      <c r="M230" s="111"/>
      <c r="P230" s="111"/>
      <c r="S230" s="111"/>
    </row>
    <row r="231" ht="12.75" customHeight="1">
      <c r="C231" s="1"/>
      <c r="D231" s="1"/>
      <c r="E231" s="1"/>
      <c r="J231" s="111"/>
      <c r="M231" s="111"/>
      <c r="P231" s="111"/>
      <c r="S231" s="111"/>
    </row>
    <row r="232" ht="12.75" customHeight="1">
      <c r="C232" s="1"/>
      <c r="D232" s="1"/>
      <c r="E232" s="1"/>
      <c r="J232" s="111"/>
      <c r="M232" s="111"/>
      <c r="P232" s="111"/>
      <c r="S232" s="111"/>
    </row>
    <row r="233" ht="12.75" customHeight="1">
      <c r="C233" s="1"/>
      <c r="D233" s="1"/>
      <c r="E233" s="1"/>
      <c r="J233" s="111"/>
      <c r="M233" s="111"/>
      <c r="P233" s="111"/>
      <c r="S233" s="111"/>
    </row>
    <row r="234" ht="12.75" customHeight="1">
      <c r="C234" s="1"/>
      <c r="D234" s="1"/>
      <c r="E234" s="1"/>
      <c r="J234" s="111"/>
      <c r="M234" s="111"/>
      <c r="P234" s="111"/>
      <c r="S234" s="111"/>
    </row>
    <row r="235" ht="12.75" customHeight="1">
      <c r="C235" s="1"/>
      <c r="D235" s="1"/>
      <c r="E235" s="1"/>
      <c r="J235" s="111"/>
      <c r="M235" s="111"/>
      <c r="P235" s="111"/>
      <c r="S235" s="111"/>
    </row>
    <row r="236" ht="12.75" customHeight="1">
      <c r="C236" s="1"/>
      <c r="D236" s="1"/>
      <c r="E236" s="1"/>
      <c r="J236" s="111"/>
      <c r="M236" s="111"/>
      <c r="P236" s="111"/>
      <c r="S236" s="111"/>
    </row>
    <row r="237" ht="12.75" customHeight="1">
      <c r="C237" s="1"/>
      <c r="D237" s="1"/>
      <c r="E237" s="1"/>
      <c r="J237" s="111"/>
      <c r="M237" s="111"/>
      <c r="P237" s="111"/>
      <c r="S237" s="111"/>
    </row>
    <row r="238" ht="12.75" customHeight="1">
      <c r="C238" s="1"/>
      <c r="D238" s="1"/>
      <c r="E238" s="1"/>
      <c r="J238" s="111"/>
      <c r="M238" s="111"/>
      <c r="P238" s="111"/>
      <c r="S238" s="111"/>
    </row>
    <row r="239" ht="12.75" customHeight="1">
      <c r="C239" s="1"/>
      <c r="D239" s="1"/>
      <c r="E239" s="1"/>
      <c r="J239" s="111"/>
      <c r="M239" s="111"/>
      <c r="P239" s="111"/>
      <c r="S239" s="111"/>
    </row>
    <row r="240" ht="12.75" customHeight="1">
      <c r="C240" s="1"/>
      <c r="D240" s="1"/>
      <c r="E240" s="1"/>
      <c r="J240" s="111"/>
      <c r="M240" s="111"/>
      <c r="P240" s="111"/>
      <c r="S240" s="111"/>
    </row>
    <row r="241" ht="12.75" customHeight="1">
      <c r="C241" s="1"/>
      <c r="D241" s="1"/>
      <c r="E241" s="1"/>
      <c r="J241" s="111"/>
      <c r="M241" s="111"/>
      <c r="P241" s="111"/>
      <c r="S241" s="111"/>
    </row>
    <row r="242" ht="12.75" customHeight="1">
      <c r="C242" s="1"/>
      <c r="D242" s="1"/>
      <c r="E242" s="1"/>
      <c r="J242" s="111"/>
      <c r="M242" s="111"/>
      <c r="P242" s="111"/>
      <c r="S242" s="111"/>
    </row>
    <row r="243" ht="12.75" customHeight="1">
      <c r="C243" s="1"/>
      <c r="D243" s="1"/>
      <c r="E243" s="1"/>
      <c r="J243" s="111"/>
      <c r="M243" s="111"/>
      <c r="P243" s="111"/>
      <c r="S243" s="111"/>
    </row>
    <row r="244" ht="12.75" customHeight="1">
      <c r="C244" s="1"/>
      <c r="D244" s="1"/>
      <c r="E244" s="1"/>
      <c r="J244" s="111"/>
      <c r="M244" s="111"/>
      <c r="P244" s="111"/>
      <c r="S244" s="111"/>
    </row>
    <row r="245" ht="12.75" customHeight="1">
      <c r="C245" s="1"/>
      <c r="D245" s="1"/>
      <c r="E245" s="1"/>
      <c r="J245" s="111"/>
      <c r="M245" s="111"/>
      <c r="P245" s="111"/>
      <c r="S245" s="111"/>
    </row>
    <row r="246" ht="12.75" customHeight="1">
      <c r="C246" s="1"/>
      <c r="D246" s="1"/>
      <c r="E246" s="1"/>
      <c r="J246" s="111"/>
      <c r="M246" s="111"/>
      <c r="P246" s="111"/>
      <c r="S246" s="111"/>
    </row>
    <row r="247" ht="12.75" customHeight="1">
      <c r="C247" s="1"/>
      <c r="D247" s="1"/>
      <c r="E247" s="1"/>
      <c r="J247" s="111"/>
      <c r="M247" s="111"/>
      <c r="P247" s="111"/>
      <c r="S247" s="111"/>
    </row>
    <row r="248" ht="12.75" customHeight="1">
      <c r="C248" s="1"/>
      <c r="D248" s="1"/>
      <c r="E248" s="1"/>
      <c r="J248" s="111"/>
      <c r="M248" s="111"/>
      <c r="P248" s="111"/>
      <c r="S248" s="111"/>
    </row>
    <row r="249" ht="12.75" customHeight="1">
      <c r="C249" s="1"/>
      <c r="D249" s="1"/>
      <c r="E249" s="1"/>
      <c r="J249" s="111"/>
      <c r="M249" s="111"/>
      <c r="P249" s="111"/>
      <c r="S249" s="111"/>
    </row>
    <row r="250" ht="12.75" customHeight="1">
      <c r="C250" s="1"/>
      <c r="D250" s="1"/>
      <c r="E250" s="1"/>
      <c r="J250" s="111"/>
      <c r="M250" s="111"/>
      <c r="P250" s="111"/>
      <c r="S250" s="111"/>
    </row>
    <row r="251" ht="12.75" customHeight="1">
      <c r="C251" s="1"/>
      <c r="D251" s="1"/>
      <c r="E251" s="1"/>
      <c r="J251" s="111"/>
      <c r="M251" s="111"/>
      <c r="P251" s="111"/>
      <c r="S251" s="111"/>
    </row>
    <row r="252" ht="12.75" customHeight="1">
      <c r="C252" s="1"/>
      <c r="D252" s="1"/>
      <c r="E252" s="1"/>
      <c r="J252" s="111"/>
      <c r="M252" s="111"/>
      <c r="P252" s="111"/>
      <c r="S252" s="111"/>
    </row>
    <row r="253" ht="12.75" customHeight="1">
      <c r="C253" s="1"/>
      <c r="D253" s="1"/>
      <c r="E253" s="1"/>
      <c r="J253" s="111"/>
      <c r="M253" s="111"/>
      <c r="P253" s="111"/>
      <c r="S253" s="111"/>
    </row>
    <row r="254" ht="12.75" customHeight="1">
      <c r="C254" s="1"/>
      <c r="D254" s="1"/>
      <c r="E254" s="1"/>
      <c r="J254" s="111"/>
      <c r="M254" s="111"/>
      <c r="P254" s="111"/>
      <c r="S254" s="111"/>
    </row>
    <row r="255" ht="12.75" customHeight="1">
      <c r="C255" s="1"/>
      <c r="D255" s="1"/>
      <c r="E255" s="1"/>
      <c r="J255" s="111"/>
      <c r="M255" s="111"/>
      <c r="P255" s="111"/>
      <c r="S255" s="111"/>
    </row>
    <row r="256" ht="12.75" customHeight="1">
      <c r="C256" s="1"/>
      <c r="D256" s="1"/>
      <c r="E256" s="1"/>
      <c r="J256" s="111"/>
      <c r="M256" s="111"/>
      <c r="P256" s="111"/>
      <c r="S256" s="111"/>
    </row>
    <row r="257" ht="12.75" customHeight="1">
      <c r="C257" s="1"/>
      <c r="D257" s="1"/>
      <c r="E257" s="1"/>
      <c r="J257" s="111"/>
      <c r="M257" s="111"/>
      <c r="P257" s="111"/>
      <c r="S257" s="111"/>
    </row>
    <row r="258" ht="12.75" customHeight="1">
      <c r="C258" s="1"/>
      <c r="D258" s="1"/>
      <c r="E258" s="1"/>
      <c r="J258" s="111"/>
      <c r="M258" s="111"/>
      <c r="P258" s="111"/>
      <c r="S258" s="111"/>
    </row>
    <row r="259" ht="12.75" customHeight="1">
      <c r="C259" s="1"/>
      <c r="D259" s="1"/>
      <c r="E259" s="1"/>
      <c r="J259" s="111"/>
      <c r="M259" s="111"/>
      <c r="P259" s="111"/>
      <c r="S259" s="111"/>
    </row>
    <row r="260" ht="12.75" customHeight="1">
      <c r="C260" s="1"/>
      <c r="D260" s="1"/>
      <c r="E260" s="1"/>
      <c r="J260" s="111"/>
      <c r="M260" s="111"/>
      <c r="P260" s="111"/>
      <c r="S260" s="111"/>
    </row>
    <row r="261" ht="12.75" customHeight="1">
      <c r="C261" s="1"/>
      <c r="D261" s="1"/>
      <c r="E261" s="1"/>
      <c r="J261" s="111"/>
      <c r="M261" s="111"/>
      <c r="P261" s="111"/>
      <c r="S261" s="111"/>
    </row>
    <row r="262" ht="12.75" customHeight="1">
      <c r="C262" s="1"/>
      <c r="D262" s="1"/>
      <c r="E262" s="1"/>
      <c r="J262" s="111"/>
      <c r="M262" s="111"/>
      <c r="P262" s="111"/>
      <c r="S262" s="111"/>
    </row>
    <row r="263" ht="12.75" customHeight="1">
      <c r="C263" s="1"/>
      <c r="D263" s="1"/>
      <c r="E263" s="1"/>
      <c r="J263" s="111"/>
      <c r="M263" s="111"/>
      <c r="P263" s="111"/>
      <c r="S263" s="111"/>
    </row>
    <row r="264" ht="12.75" customHeight="1">
      <c r="C264" s="1"/>
      <c r="D264" s="1"/>
      <c r="E264" s="1"/>
      <c r="J264" s="111"/>
      <c r="M264" s="111"/>
      <c r="P264" s="111"/>
      <c r="S264" s="111"/>
    </row>
    <row r="265" ht="12.75" customHeight="1">
      <c r="C265" s="1"/>
      <c r="D265" s="1"/>
      <c r="E265" s="1"/>
      <c r="J265" s="111"/>
      <c r="M265" s="111"/>
      <c r="P265" s="111"/>
      <c r="S265" s="111"/>
    </row>
    <row r="266" ht="12.75" customHeight="1">
      <c r="C266" s="1"/>
      <c r="D266" s="1"/>
      <c r="E266" s="1"/>
      <c r="J266" s="111"/>
      <c r="M266" s="111"/>
      <c r="P266" s="111"/>
      <c r="S266" s="111"/>
    </row>
    <row r="267" ht="12.75" customHeight="1">
      <c r="C267" s="1"/>
      <c r="D267" s="1"/>
      <c r="E267" s="1"/>
      <c r="J267" s="111"/>
      <c r="M267" s="111"/>
      <c r="P267" s="111"/>
      <c r="S267" s="111"/>
    </row>
    <row r="268" ht="12.75" customHeight="1">
      <c r="C268" s="1"/>
      <c r="D268" s="1"/>
      <c r="E268" s="1"/>
      <c r="J268" s="111"/>
      <c r="M268" s="111"/>
      <c r="P268" s="111"/>
      <c r="S268" s="111"/>
    </row>
    <row r="269" ht="12.75" customHeight="1">
      <c r="C269" s="1"/>
      <c r="D269" s="1"/>
      <c r="E269" s="1"/>
      <c r="J269" s="111"/>
      <c r="M269" s="111"/>
      <c r="P269" s="111"/>
      <c r="S269" s="111"/>
    </row>
    <row r="270" ht="12.75" customHeight="1">
      <c r="C270" s="1"/>
      <c r="D270" s="1"/>
      <c r="E270" s="1"/>
      <c r="J270" s="111"/>
      <c r="M270" s="111"/>
      <c r="P270" s="111"/>
      <c r="S270" s="111"/>
    </row>
    <row r="271" ht="12.75" customHeight="1">
      <c r="C271" s="1"/>
      <c r="D271" s="1"/>
      <c r="E271" s="1"/>
      <c r="J271" s="111"/>
      <c r="M271" s="111"/>
      <c r="P271" s="111"/>
      <c r="S271" s="111"/>
    </row>
    <row r="272" ht="12.75" customHeight="1">
      <c r="C272" s="1"/>
      <c r="D272" s="1"/>
      <c r="E272" s="1"/>
      <c r="J272" s="111"/>
      <c r="M272" s="111"/>
      <c r="P272" s="111"/>
      <c r="S272" s="111"/>
    </row>
    <row r="273" ht="12.75" customHeight="1">
      <c r="C273" s="1"/>
      <c r="D273" s="1"/>
      <c r="E273" s="1"/>
      <c r="J273" s="111"/>
      <c r="M273" s="111"/>
      <c r="P273" s="111"/>
      <c r="S273" s="111"/>
    </row>
    <row r="274" ht="12.75" customHeight="1">
      <c r="C274" s="1"/>
      <c r="D274" s="1"/>
      <c r="E274" s="1"/>
      <c r="J274" s="111"/>
      <c r="M274" s="111"/>
      <c r="P274" s="111"/>
      <c r="S274" s="111"/>
    </row>
    <row r="275" ht="12.75" customHeight="1">
      <c r="C275" s="1"/>
      <c r="D275" s="1"/>
      <c r="E275" s="1"/>
      <c r="J275" s="111"/>
      <c r="M275" s="111"/>
      <c r="P275" s="111"/>
      <c r="S275" s="111"/>
    </row>
    <row r="276" ht="12.75" customHeight="1">
      <c r="C276" s="1"/>
      <c r="D276" s="1"/>
      <c r="E276" s="1"/>
      <c r="J276" s="111"/>
      <c r="M276" s="111"/>
      <c r="P276" s="111"/>
      <c r="S276" s="111"/>
    </row>
    <row r="277" ht="12.75" customHeight="1">
      <c r="C277" s="1"/>
      <c r="D277" s="1"/>
      <c r="E277" s="1"/>
      <c r="J277" s="111"/>
      <c r="M277" s="111"/>
      <c r="P277" s="111"/>
      <c r="S277" s="111"/>
    </row>
    <row r="278" ht="12.75" customHeight="1">
      <c r="C278" s="1"/>
      <c r="D278" s="1"/>
      <c r="E278" s="1"/>
      <c r="J278" s="111"/>
      <c r="M278" s="111"/>
      <c r="P278" s="111"/>
      <c r="S278" s="111"/>
    </row>
    <row r="279" ht="12.75" customHeight="1">
      <c r="C279" s="1"/>
      <c r="D279" s="1"/>
      <c r="E279" s="1"/>
      <c r="J279" s="111"/>
      <c r="M279" s="111"/>
      <c r="P279" s="111"/>
      <c r="S279" s="111"/>
    </row>
    <row r="280" ht="12.75" customHeight="1">
      <c r="C280" s="1"/>
      <c r="D280" s="1"/>
      <c r="E280" s="1"/>
      <c r="J280" s="111"/>
      <c r="M280" s="111"/>
      <c r="P280" s="111"/>
      <c r="S280" s="111"/>
    </row>
    <row r="281" ht="12.75" customHeight="1">
      <c r="C281" s="1"/>
      <c r="D281" s="1"/>
      <c r="E281" s="1"/>
      <c r="J281" s="111"/>
      <c r="M281" s="111"/>
      <c r="P281" s="111"/>
      <c r="S281" s="111"/>
    </row>
    <row r="282" ht="12.75" customHeight="1">
      <c r="C282" s="1"/>
      <c r="D282" s="1"/>
      <c r="E282" s="1"/>
      <c r="J282" s="111"/>
      <c r="M282" s="111"/>
      <c r="P282" s="111"/>
      <c r="S282" s="111"/>
    </row>
    <row r="283" ht="12.75" customHeight="1">
      <c r="C283" s="1"/>
      <c r="D283" s="1"/>
      <c r="E283" s="1"/>
      <c r="J283" s="111"/>
      <c r="M283" s="111"/>
      <c r="P283" s="111"/>
      <c r="S283" s="111"/>
    </row>
    <row r="284" ht="12.75" customHeight="1">
      <c r="C284" s="1"/>
      <c r="D284" s="1"/>
      <c r="E284" s="1"/>
      <c r="J284" s="111"/>
      <c r="M284" s="111"/>
      <c r="P284" s="111"/>
      <c r="S284" s="111"/>
    </row>
    <row r="285" ht="12.75" customHeight="1">
      <c r="C285" s="1"/>
      <c r="D285" s="1"/>
      <c r="E285" s="1"/>
      <c r="J285" s="111"/>
      <c r="M285" s="111"/>
      <c r="P285" s="111"/>
      <c r="S285" s="111"/>
    </row>
    <row r="286" ht="12.75" customHeight="1">
      <c r="C286" s="1"/>
      <c r="D286" s="1"/>
      <c r="E286" s="1"/>
      <c r="J286" s="111"/>
      <c r="M286" s="111"/>
      <c r="P286" s="111"/>
      <c r="S286" s="111"/>
    </row>
    <row r="287" ht="12.75" customHeight="1">
      <c r="C287" s="1"/>
      <c r="D287" s="1"/>
      <c r="E287" s="1"/>
      <c r="J287" s="111"/>
      <c r="M287" s="111"/>
      <c r="P287" s="111"/>
      <c r="S287" s="111"/>
    </row>
    <row r="288" ht="12.75" customHeight="1">
      <c r="C288" s="1"/>
      <c r="D288" s="1"/>
      <c r="E288" s="1"/>
      <c r="J288" s="111"/>
      <c r="M288" s="111"/>
      <c r="P288" s="111"/>
      <c r="S288" s="111"/>
    </row>
    <row r="289" ht="12.75" customHeight="1">
      <c r="C289" s="1"/>
      <c r="D289" s="1"/>
      <c r="E289" s="1"/>
      <c r="J289" s="111"/>
      <c r="M289" s="111"/>
      <c r="P289" s="111"/>
      <c r="S289" s="111"/>
    </row>
    <row r="290" ht="12.75" customHeight="1">
      <c r="C290" s="1"/>
      <c r="D290" s="1"/>
      <c r="E290" s="1"/>
      <c r="J290" s="111"/>
      <c r="M290" s="111"/>
      <c r="P290" s="111"/>
      <c r="S290" s="111"/>
    </row>
    <row r="291" ht="12.75" customHeight="1">
      <c r="C291" s="1"/>
      <c r="D291" s="1"/>
      <c r="E291" s="1"/>
      <c r="J291" s="111"/>
      <c r="M291" s="111"/>
      <c r="P291" s="111"/>
      <c r="S291" s="111"/>
    </row>
    <row r="292" ht="12.75" customHeight="1">
      <c r="C292" s="1"/>
      <c r="D292" s="1"/>
      <c r="E292" s="1"/>
      <c r="J292" s="111"/>
      <c r="M292" s="111"/>
      <c r="P292" s="111"/>
      <c r="S292" s="111"/>
    </row>
    <row r="293" ht="12.75" customHeight="1">
      <c r="C293" s="1"/>
      <c r="D293" s="1"/>
      <c r="E293" s="1"/>
      <c r="J293" s="111"/>
      <c r="M293" s="111"/>
      <c r="P293" s="111"/>
      <c r="S293" s="111"/>
    </row>
    <row r="294" ht="12.75" customHeight="1">
      <c r="C294" s="1"/>
      <c r="D294" s="1"/>
      <c r="E294" s="1"/>
      <c r="J294" s="111"/>
      <c r="M294" s="111"/>
      <c r="P294" s="111"/>
      <c r="S294" s="111"/>
    </row>
    <row r="295" ht="12.75" customHeight="1">
      <c r="C295" s="1"/>
      <c r="D295" s="1"/>
      <c r="E295" s="1"/>
      <c r="J295" s="111"/>
      <c r="M295" s="111"/>
      <c r="P295" s="111"/>
      <c r="S295" s="111"/>
    </row>
    <row r="296" ht="12.75" customHeight="1">
      <c r="C296" s="1"/>
      <c r="D296" s="1"/>
      <c r="E296" s="1"/>
      <c r="J296" s="111"/>
      <c r="M296" s="111"/>
      <c r="P296" s="111"/>
      <c r="S296" s="111"/>
    </row>
    <row r="297" ht="12.75" customHeight="1">
      <c r="C297" s="1"/>
      <c r="D297" s="1"/>
      <c r="E297" s="1"/>
      <c r="J297" s="111"/>
      <c r="M297" s="111"/>
      <c r="P297" s="111"/>
      <c r="S297" s="111"/>
    </row>
    <row r="298" ht="12.75" customHeight="1">
      <c r="C298" s="1"/>
      <c r="D298" s="1"/>
      <c r="E298" s="1"/>
      <c r="J298" s="111"/>
      <c r="M298" s="111"/>
      <c r="P298" s="111"/>
      <c r="S298" s="111"/>
    </row>
    <row r="299" ht="12.75" customHeight="1">
      <c r="C299" s="1"/>
      <c r="D299" s="1"/>
      <c r="E299" s="1"/>
      <c r="J299" s="111"/>
      <c r="M299" s="111"/>
      <c r="P299" s="111"/>
      <c r="S299" s="111"/>
    </row>
    <row r="300" ht="12.75" customHeight="1">
      <c r="C300" s="1"/>
      <c r="D300" s="1"/>
      <c r="E300" s="1"/>
      <c r="J300" s="111"/>
      <c r="M300" s="111"/>
      <c r="P300" s="111"/>
      <c r="S300" s="111"/>
    </row>
    <row r="301" ht="12.75" customHeight="1">
      <c r="C301" s="1"/>
      <c r="D301" s="1"/>
      <c r="E301" s="1"/>
      <c r="J301" s="111"/>
      <c r="M301" s="111"/>
      <c r="P301" s="111"/>
      <c r="S301" s="111"/>
    </row>
    <row r="302" ht="12.75" customHeight="1">
      <c r="C302" s="1"/>
      <c r="D302" s="1"/>
      <c r="E302" s="1"/>
      <c r="J302" s="111"/>
      <c r="M302" s="111"/>
      <c r="P302" s="111"/>
      <c r="S302" s="111"/>
    </row>
    <row r="303" ht="12.75" customHeight="1">
      <c r="C303" s="1"/>
      <c r="D303" s="1"/>
      <c r="E303" s="1"/>
      <c r="J303" s="111"/>
      <c r="M303" s="111"/>
      <c r="P303" s="111"/>
      <c r="S303" s="111"/>
    </row>
    <row r="304" ht="12.75" customHeight="1">
      <c r="C304" s="1"/>
      <c r="D304" s="1"/>
      <c r="E304" s="1"/>
      <c r="J304" s="111"/>
      <c r="M304" s="111"/>
      <c r="P304" s="111"/>
      <c r="S304" s="111"/>
    </row>
    <row r="305" ht="12.75" customHeight="1">
      <c r="C305" s="1"/>
      <c r="D305" s="1"/>
      <c r="E305" s="1"/>
      <c r="J305" s="111"/>
      <c r="M305" s="111"/>
      <c r="P305" s="111"/>
      <c r="S305" s="111"/>
    </row>
    <row r="306" ht="12.75" customHeight="1">
      <c r="C306" s="1"/>
      <c r="D306" s="1"/>
      <c r="E306" s="1"/>
      <c r="J306" s="111"/>
      <c r="M306" s="111"/>
      <c r="P306" s="111"/>
      <c r="S306" s="111"/>
    </row>
    <row r="307" ht="12.75" customHeight="1">
      <c r="C307" s="1"/>
      <c r="D307" s="1"/>
      <c r="E307" s="1"/>
      <c r="J307" s="111"/>
      <c r="M307" s="111"/>
      <c r="P307" s="111"/>
      <c r="S307" s="111"/>
    </row>
    <row r="308" ht="12.75" customHeight="1">
      <c r="C308" s="1"/>
      <c r="D308" s="1"/>
      <c r="E308" s="1"/>
      <c r="J308" s="111"/>
      <c r="M308" s="111"/>
      <c r="P308" s="111"/>
      <c r="S308" s="111"/>
    </row>
    <row r="309" ht="12.75" customHeight="1">
      <c r="C309" s="1"/>
      <c r="D309" s="1"/>
      <c r="E309" s="1"/>
      <c r="J309" s="111"/>
      <c r="M309" s="111"/>
      <c r="P309" s="111"/>
      <c r="S309" s="111"/>
    </row>
    <row r="310" ht="12.75" customHeight="1">
      <c r="C310" s="1"/>
      <c r="D310" s="1"/>
      <c r="E310" s="1"/>
      <c r="J310" s="111"/>
      <c r="M310" s="111"/>
      <c r="P310" s="111"/>
      <c r="S310" s="111"/>
    </row>
    <row r="311" ht="12.75" customHeight="1">
      <c r="C311" s="1"/>
      <c r="D311" s="1"/>
      <c r="E311" s="1"/>
      <c r="J311" s="111"/>
      <c r="M311" s="111"/>
      <c r="P311" s="111"/>
      <c r="S311" s="111"/>
    </row>
    <row r="312" ht="12.75" customHeight="1">
      <c r="C312" s="1"/>
      <c r="D312" s="1"/>
      <c r="E312" s="1"/>
      <c r="J312" s="111"/>
      <c r="M312" s="111"/>
      <c r="P312" s="111"/>
      <c r="S312" s="111"/>
    </row>
    <row r="313" ht="12.75" customHeight="1">
      <c r="C313" s="1"/>
      <c r="D313" s="1"/>
      <c r="E313" s="1"/>
      <c r="J313" s="111"/>
      <c r="M313" s="111"/>
      <c r="P313" s="111"/>
      <c r="S313" s="111"/>
    </row>
    <row r="314" ht="12.75" customHeight="1">
      <c r="C314" s="1"/>
      <c r="D314" s="1"/>
      <c r="E314" s="1"/>
      <c r="J314" s="111"/>
      <c r="M314" s="111"/>
      <c r="P314" s="111"/>
      <c r="S314" s="111"/>
    </row>
    <row r="315" ht="12.75" customHeight="1">
      <c r="C315" s="1"/>
      <c r="D315" s="1"/>
      <c r="E315" s="1"/>
      <c r="J315" s="111"/>
      <c r="M315" s="111"/>
      <c r="P315" s="111"/>
      <c r="S315" s="111"/>
    </row>
    <row r="316" ht="12.75" customHeight="1">
      <c r="C316" s="1"/>
      <c r="D316" s="1"/>
      <c r="E316" s="1"/>
      <c r="J316" s="111"/>
      <c r="M316" s="111"/>
      <c r="P316" s="111"/>
      <c r="S316" s="111"/>
    </row>
    <row r="317" ht="12.75" customHeight="1">
      <c r="C317" s="1"/>
      <c r="D317" s="1"/>
      <c r="E317" s="1"/>
      <c r="J317" s="111"/>
      <c r="M317" s="111"/>
      <c r="P317" s="111"/>
      <c r="S317" s="111"/>
    </row>
    <row r="318" ht="12.75" customHeight="1">
      <c r="C318" s="1"/>
      <c r="D318" s="1"/>
      <c r="E318" s="1"/>
      <c r="J318" s="111"/>
      <c r="M318" s="111"/>
      <c r="P318" s="111"/>
      <c r="S318" s="111"/>
    </row>
    <row r="319" ht="12.75" customHeight="1">
      <c r="C319" s="1"/>
      <c r="D319" s="1"/>
      <c r="E319" s="1"/>
      <c r="J319" s="111"/>
      <c r="M319" s="111"/>
      <c r="P319" s="111"/>
      <c r="S319" s="111"/>
    </row>
    <row r="320" ht="12.75" customHeight="1">
      <c r="C320" s="1"/>
      <c r="D320" s="1"/>
      <c r="E320" s="1"/>
      <c r="J320" s="111"/>
      <c r="M320" s="111"/>
      <c r="P320" s="111"/>
      <c r="S320" s="111"/>
    </row>
    <row r="321" ht="12.75" customHeight="1">
      <c r="C321" s="1"/>
      <c r="D321" s="1"/>
      <c r="E321" s="1"/>
      <c r="J321" s="111"/>
      <c r="M321" s="111"/>
      <c r="P321" s="111"/>
      <c r="S321" s="111"/>
    </row>
    <row r="322" ht="12.75" customHeight="1">
      <c r="C322" s="1"/>
      <c r="D322" s="1"/>
      <c r="E322" s="1"/>
      <c r="J322" s="111"/>
      <c r="M322" s="111"/>
      <c r="P322" s="111"/>
      <c r="S322" s="111"/>
    </row>
    <row r="323" ht="12.75" customHeight="1">
      <c r="C323" s="1"/>
      <c r="D323" s="1"/>
      <c r="E323" s="1"/>
      <c r="J323" s="111"/>
      <c r="M323" s="111"/>
      <c r="P323" s="111"/>
      <c r="S323" s="111"/>
    </row>
    <row r="324" ht="12.75" customHeight="1">
      <c r="C324" s="1"/>
      <c r="D324" s="1"/>
      <c r="E324" s="1"/>
      <c r="J324" s="111"/>
      <c r="M324" s="111"/>
      <c r="P324" s="111"/>
      <c r="S324" s="111"/>
    </row>
    <row r="325" ht="12.75" customHeight="1">
      <c r="C325" s="1"/>
      <c r="D325" s="1"/>
      <c r="E325" s="1"/>
      <c r="J325" s="111"/>
      <c r="M325" s="111"/>
      <c r="P325" s="111"/>
      <c r="S325" s="111"/>
    </row>
    <row r="326" ht="12.75" customHeight="1">
      <c r="C326" s="1"/>
      <c r="D326" s="1"/>
      <c r="E326" s="1"/>
      <c r="J326" s="111"/>
      <c r="M326" s="111"/>
      <c r="P326" s="111"/>
      <c r="S326" s="111"/>
    </row>
    <row r="327" ht="12.75" customHeight="1">
      <c r="C327" s="1"/>
      <c r="D327" s="1"/>
      <c r="E327" s="1"/>
      <c r="J327" s="111"/>
      <c r="M327" s="111"/>
      <c r="P327" s="111"/>
      <c r="S327" s="111"/>
    </row>
    <row r="328" ht="12.75" customHeight="1">
      <c r="C328" s="1"/>
      <c r="D328" s="1"/>
      <c r="E328" s="1"/>
      <c r="J328" s="111"/>
      <c r="M328" s="111"/>
      <c r="P328" s="111"/>
      <c r="S328" s="111"/>
    </row>
    <row r="329" ht="12.75" customHeight="1">
      <c r="C329" s="1"/>
      <c r="D329" s="1"/>
      <c r="E329" s="1"/>
      <c r="J329" s="111"/>
      <c r="M329" s="111"/>
      <c r="P329" s="111"/>
      <c r="S329" s="111"/>
    </row>
    <row r="330" ht="12.75" customHeight="1">
      <c r="C330" s="1"/>
      <c r="D330" s="1"/>
      <c r="E330" s="1"/>
      <c r="J330" s="111"/>
      <c r="M330" s="111"/>
      <c r="P330" s="111"/>
      <c r="S330" s="111"/>
    </row>
    <row r="331" ht="12.75" customHeight="1">
      <c r="C331" s="1"/>
      <c r="D331" s="1"/>
      <c r="E331" s="1"/>
      <c r="J331" s="111"/>
      <c r="M331" s="111"/>
      <c r="P331" s="111"/>
      <c r="S331" s="111"/>
    </row>
    <row r="332" ht="12.75" customHeight="1">
      <c r="C332" s="1"/>
      <c r="D332" s="1"/>
      <c r="E332" s="1"/>
      <c r="J332" s="111"/>
      <c r="M332" s="111"/>
      <c r="P332" s="111"/>
      <c r="S332" s="111"/>
    </row>
    <row r="333" ht="12.75" customHeight="1">
      <c r="C333" s="1"/>
      <c r="D333" s="1"/>
      <c r="E333" s="1"/>
      <c r="J333" s="111"/>
      <c r="M333" s="111"/>
      <c r="P333" s="111"/>
      <c r="S333" s="111"/>
    </row>
    <row r="334" ht="12.75" customHeight="1">
      <c r="C334" s="1"/>
      <c r="D334" s="1"/>
      <c r="E334" s="1"/>
      <c r="J334" s="111"/>
      <c r="M334" s="111"/>
      <c r="P334" s="111"/>
      <c r="S334" s="111"/>
    </row>
    <row r="335" ht="12.75" customHeight="1">
      <c r="C335" s="1"/>
      <c r="D335" s="1"/>
      <c r="E335" s="1"/>
      <c r="J335" s="111"/>
      <c r="M335" s="111"/>
      <c r="P335" s="111"/>
      <c r="S335" s="111"/>
    </row>
    <row r="336" ht="12.75" customHeight="1">
      <c r="C336" s="1"/>
      <c r="D336" s="1"/>
      <c r="E336" s="1"/>
      <c r="J336" s="111"/>
      <c r="M336" s="111"/>
      <c r="P336" s="111"/>
      <c r="S336" s="111"/>
    </row>
    <row r="337" ht="12.75" customHeight="1">
      <c r="C337" s="1"/>
      <c r="D337" s="1"/>
      <c r="E337" s="1"/>
      <c r="J337" s="111"/>
      <c r="M337" s="111"/>
      <c r="P337" s="111"/>
      <c r="S337" s="111"/>
    </row>
    <row r="338" ht="12.75" customHeight="1">
      <c r="C338" s="1"/>
      <c r="D338" s="1"/>
      <c r="E338" s="1"/>
      <c r="J338" s="111"/>
      <c r="M338" s="111"/>
      <c r="P338" s="111"/>
      <c r="S338" s="111"/>
    </row>
    <row r="339" ht="12.75" customHeight="1">
      <c r="C339" s="1"/>
      <c r="D339" s="1"/>
      <c r="E339" s="1"/>
      <c r="J339" s="111"/>
      <c r="M339" s="111"/>
      <c r="P339" s="111"/>
      <c r="S339" s="111"/>
    </row>
    <row r="340" ht="12.75" customHeight="1">
      <c r="C340" s="1"/>
      <c r="D340" s="1"/>
      <c r="E340" s="1"/>
      <c r="J340" s="111"/>
      <c r="M340" s="111"/>
      <c r="P340" s="111"/>
      <c r="S340" s="111"/>
    </row>
    <row r="341" ht="12.75" customHeight="1">
      <c r="C341" s="1"/>
      <c r="D341" s="1"/>
      <c r="E341" s="1"/>
      <c r="J341" s="111"/>
      <c r="M341" s="111"/>
      <c r="P341" s="111"/>
      <c r="S341" s="111"/>
    </row>
    <row r="342" ht="12.75" customHeight="1">
      <c r="C342" s="1"/>
      <c r="D342" s="1"/>
      <c r="E342" s="1"/>
      <c r="J342" s="111"/>
      <c r="M342" s="111"/>
      <c r="P342" s="111"/>
      <c r="S342" s="111"/>
    </row>
    <row r="343" ht="12.75" customHeight="1">
      <c r="C343" s="1"/>
      <c r="D343" s="1"/>
      <c r="E343" s="1"/>
      <c r="J343" s="111"/>
      <c r="M343" s="111"/>
      <c r="P343" s="111"/>
      <c r="S343" s="111"/>
    </row>
    <row r="344" ht="12.75" customHeight="1">
      <c r="C344" s="1"/>
      <c r="D344" s="1"/>
      <c r="E344" s="1"/>
      <c r="J344" s="111"/>
      <c r="M344" s="111"/>
      <c r="P344" s="111"/>
      <c r="S344" s="111"/>
    </row>
    <row r="345" ht="12.75" customHeight="1">
      <c r="C345" s="1"/>
      <c r="D345" s="1"/>
      <c r="E345" s="1"/>
      <c r="J345" s="111"/>
      <c r="M345" s="111"/>
      <c r="P345" s="111"/>
      <c r="S345" s="111"/>
    </row>
    <row r="346" ht="12.75" customHeight="1">
      <c r="C346" s="1"/>
      <c r="D346" s="1"/>
      <c r="E346" s="1"/>
      <c r="J346" s="111"/>
      <c r="M346" s="111"/>
      <c r="P346" s="111"/>
      <c r="S346" s="111"/>
    </row>
    <row r="347" ht="12.75" customHeight="1">
      <c r="C347" s="1"/>
      <c r="D347" s="1"/>
      <c r="E347" s="1"/>
      <c r="J347" s="111"/>
      <c r="M347" s="111"/>
      <c r="P347" s="111"/>
      <c r="S347" s="111"/>
    </row>
    <row r="348" ht="12.75" customHeight="1">
      <c r="C348" s="1"/>
      <c r="D348" s="1"/>
      <c r="E348" s="1"/>
      <c r="J348" s="111"/>
      <c r="M348" s="111"/>
      <c r="P348" s="111"/>
      <c r="S348" s="111"/>
    </row>
    <row r="349" ht="12.75" customHeight="1">
      <c r="C349" s="1"/>
      <c r="D349" s="1"/>
      <c r="E349" s="1"/>
      <c r="J349" s="111"/>
      <c r="M349" s="111"/>
      <c r="P349" s="111"/>
      <c r="S349" s="111"/>
    </row>
    <row r="350" ht="12.75" customHeight="1">
      <c r="C350" s="1"/>
      <c r="D350" s="1"/>
      <c r="E350" s="1"/>
      <c r="J350" s="111"/>
      <c r="M350" s="111"/>
      <c r="P350" s="111"/>
      <c r="S350" s="111"/>
    </row>
    <row r="351" ht="12.75" customHeight="1">
      <c r="C351" s="1"/>
      <c r="D351" s="1"/>
      <c r="E351" s="1"/>
      <c r="J351" s="111"/>
      <c r="M351" s="111"/>
      <c r="P351" s="111"/>
      <c r="S351" s="111"/>
    </row>
    <row r="352" ht="12.75" customHeight="1">
      <c r="C352" s="1"/>
      <c r="D352" s="1"/>
      <c r="E352" s="1"/>
      <c r="J352" s="111"/>
      <c r="M352" s="111"/>
      <c r="P352" s="111"/>
      <c r="S352" s="111"/>
    </row>
    <row r="353" ht="12.75" customHeight="1">
      <c r="C353" s="1"/>
      <c r="D353" s="1"/>
      <c r="E353" s="1"/>
      <c r="J353" s="111"/>
      <c r="M353" s="111"/>
      <c r="P353" s="111"/>
      <c r="S353" s="111"/>
    </row>
    <row r="354" ht="12.75" customHeight="1">
      <c r="C354" s="1"/>
      <c r="D354" s="1"/>
      <c r="E354" s="1"/>
      <c r="J354" s="111"/>
      <c r="M354" s="111"/>
      <c r="P354" s="111"/>
      <c r="S354" s="111"/>
    </row>
    <row r="355" ht="12.75" customHeight="1">
      <c r="C355" s="1"/>
      <c r="D355" s="1"/>
      <c r="E355" s="1"/>
      <c r="J355" s="111"/>
      <c r="M355" s="111"/>
      <c r="P355" s="111"/>
      <c r="S355" s="111"/>
    </row>
    <row r="356" ht="12.75" customHeight="1">
      <c r="C356" s="1"/>
      <c r="D356" s="1"/>
      <c r="E356" s="1"/>
      <c r="J356" s="111"/>
      <c r="M356" s="111"/>
      <c r="P356" s="111"/>
      <c r="S356" s="111"/>
    </row>
    <row r="357" ht="12.75" customHeight="1">
      <c r="C357" s="1"/>
      <c r="D357" s="1"/>
      <c r="E357" s="1"/>
      <c r="J357" s="111"/>
      <c r="M357" s="111"/>
      <c r="P357" s="111"/>
      <c r="S357" s="111"/>
    </row>
    <row r="358" ht="12.75" customHeight="1">
      <c r="C358" s="1"/>
      <c r="D358" s="1"/>
      <c r="E358" s="1"/>
      <c r="J358" s="111"/>
      <c r="M358" s="111"/>
      <c r="P358" s="111"/>
      <c r="S358" s="111"/>
    </row>
    <row r="359" ht="12.75" customHeight="1">
      <c r="C359" s="1"/>
      <c r="D359" s="1"/>
      <c r="E359" s="1"/>
      <c r="J359" s="111"/>
      <c r="M359" s="111"/>
      <c r="P359" s="111"/>
      <c r="S359" s="111"/>
    </row>
    <row r="360" ht="12.75" customHeight="1">
      <c r="C360" s="1"/>
      <c r="D360" s="1"/>
      <c r="E360" s="1"/>
      <c r="J360" s="111"/>
      <c r="M360" s="111"/>
      <c r="P360" s="111"/>
      <c r="S360" s="111"/>
    </row>
    <row r="361" ht="12.75" customHeight="1">
      <c r="C361" s="1"/>
      <c r="D361" s="1"/>
      <c r="E361" s="1"/>
      <c r="J361" s="111"/>
      <c r="M361" s="111"/>
      <c r="P361" s="111"/>
      <c r="S361" s="111"/>
    </row>
    <row r="362" ht="12.75" customHeight="1">
      <c r="C362" s="1"/>
      <c r="D362" s="1"/>
      <c r="E362" s="1"/>
      <c r="J362" s="111"/>
      <c r="M362" s="111"/>
      <c r="P362" s="111"/>
      <c r="S362" s="111"/>
    </row>
    <row r="363" ht="12.75" customHeight="1">
      <c r="C363" s="1"/>
      <c r="D363" s="1"/>
      <c r="E363" s="1"/>
      <c r="J363" s="111"/>
      <c r="M363" s="111"/>
      <c r="P363" s="111"/>
      <c r="S363" s="111"/>
    </row>
    <row r="364" ht="12.75" customHeight="1">
      <c r="C364" s="1"/>
      <c r="D364" s="1"/>
      <c r="E364" s="1"/>
      <c r="J364" s="111"/>
      <c r="M364" s="111"/>
      <c r="P364" s="111"/>
      <c r="S364" s="111"/>
    </row>
    <row r="365" ht="12.75" customHeight="1">
      <c r="C365" s="1"/>
      <c r="D365" s="1"/>
      <c r="E365" s="1"/>
      <c r="J365" s="111"/>
      <c r="M365" s="111"/>
      <c r="P365" s="111"/>
      <c r="S365" s="111"/>
    </row>
    <row r="366" ht="12.75" customHeight="1">
      <c r="C366" s="1"/>
      <c r="D366" s="1"/>
      <c r="E366" s="1"/>
      <c r="J366" s="111"/>
      <c r="M366" s="111"/>
      <c r="P366" s="111"/>
      <c r="S366" s="111"/>
    </row>
    <row r="367" ht="12.75" customHeight="1">
      <c r="C367" s="1"/>
      <c r="D367" s="1"/>
      <c r="E367" s="1"/>
      <c r="J367" s="111"/>
      <c r="M367" s="111"/>
      <c r="P367" s="111"/>
      <c r="S367" s="111"/>
    </row>
    <row r="368" ht="12.75" customHeight="1">
      <c r="C368" s="1"/>
      <c r="D368" s="1"/>
      <c r="E368" s="1"/>
      <c r="J368" s="111"/>
      <c r="M368" s="111"/>
      <c r="P368" s="111"/>
      <c r="S368" s="111"/>
    </row>
    <row r="369" ht="12.75" customHeight="1">
      <c r="C369" s="1"/>
      <c r="D369" s="1"/>
      <c r="E369" s="1"/>
      <c r="J369" s="111"/>
      <c r="M369" s="111"/>
      <c r="P369" s="111"/>
      <c r="S369" s="111"/>
    </row>
    <row r="370" ht="12.75" customHeight="1">
      <c r="C370" s="1"/>
      <c r="D370" s="1"/>
      <c r="E370" s="1"/>
      <c r="J370" s="111"/>
      <c r="M370" s="111"/>
      <c r="P370" s="111"/>
      <c r="S370" s="111"/>
    </row>
    <row r="371" ht="12.75" customHeight="1">
      <c r="C371" s="1"/>
      <c r="D371" s="1"/>
      <c r="E371" s="1"/>
      <c r="J371" s="111"/>
      <c r="M371" s="111"/>
      <c r="P371" s="111"/>
      <c r="S371" s="111"/>
    </row>
    <row r="372" ht="12.75" customHeight="1">
      <c r="C372" s="1"/>
      <c r="D372" s="1"/>
      <c r="E372" s="1"/>
      <c r="J372" s="111"/>
      <c r="M372" s="111"/>
      <c r="P372" s="111"/>
      <c r="S372" s="111"/>
    </row>
    <row r="373" ht="12.75" customHeight="1">
      <c r="C373" s="1"/>
      <c r="D373" s="1"/>
      <c r="E373" s="1"/>
      <c r="J373" s="111"/>
      <c r="M373" s="111"/>
      <c r="P373" s="111"/>
      <c r="S373" s="111"/>
    </row>
    <row r="374" ht="12.75" customHeight="1">
      <c r="C374" s="1"/>
      <c r="D374" s="1"/>
      <c r="E374" s="1"/>
      <c r="J374" s="111"/>
      <c r="M374" s="111"/>
      <c r="P374" s="111"/>
      <c r="S374" s="111"/>
    </row>
    <row r="375" ht="12.75" customHeight="1">
      <c r="C375" s="1"/>
      <c r="D375" s="1"/>
      <c r="E375" s="1"/>
      <c r="J375" s="111"/>
      <c r="M375" s="111"/>
      <c r="P375" s="111"/>
      <c r="S375" s="111"/>
    </row>
    <row r="376" ht="12.75" customHeight="1">
      <c r="C376" s="1"/>
      <c r="D376" s="1"/>
      <c r="E376" s="1"/>
      <c r="J376" s="111"/>
      <c r="M376" s="111"/>
      <c r="P376" s="111"/>
      <c r="S376" s="111"/>
    </row>
    <row r="377" ht="12.75" customHeight="1">
      <c r="C377" s="1"/>
      <c r="D377" s="1"/>
      <c r="E377" s="1"/>
      <c r="J377" s="111"/>
      <c r="M377" s="111"/>
      <c r="P377" s="111"/>
      <c r="S377" s="111"/>
    </row>
    <row r="378" ht="12.75" customHeight="1">
      <c r="C378" s="1"/>
      <c r="D378" s="1"/>
      <c r="E378" s="1"/>
      <c r="J378" s="111"/>
      <c r="M378" s="111"/>
      <c r="P378" s="111"/>
      <c r="S378" s="111"/>
    </row>
    <row r="379" ht="12.75" customHeight="1">
      <c r="C379" s="1"/>
      <c r="D379" s="1"/>
      <c r="E379" s="1"/>
      <c r="J379" s="111"/>
      <c r="M379" s="111"/>
      <c r="P379" s="111"/>
      <c r="S379" s="111"/>
    </row>
    <row r="380" ht="12.75" customHeight="1">
      <c r="C380" s="1"/>
      <c r="D380" s="1"/>
      <c r="E380" s="1"/>
      <c r="J380" s="111"/>
      <c r="M380" s="111"/>
      <c r="P380" s="111"/>
      <c r="S380" s="111"/>
    </row>
    <row r="381" ht="12.75" customHeight="1">
      <c r="C381" s="1"/>
      <c r="D381" s="1"/>
      <c r="E381" s="1"/>
      <c r="J381" s="111"/>
      <c r="M381" s="111"/>
      <c r="P381" s="111"/>
      <c r="S381" s="111"/>
    </row>
    <row r="382" ht="12.75" customHeight="1">
      <c r="C382" s="1"/>
      <c r="D382" s="1"/>
      <c r="E382" s="1"/>
      <c r="J382" s="111"/>
      <c r="M382" s="111"/>
      <c r="P382" s="111"/>
      <c r="S382" s="111"/>
    </row>
    <row r="383" ht="12.75" customHeight="1">
      <c r="C383" s="1"/>
      <c r="D383" s="1"/>
      <c r="E383" s="1"/>
      <c r="J383" s="111"/>
      <c r="M383" s="111"/>
      <c r="P383" s="111"/>
      <c r="S383" s="111"/>
    </row>
    <row r="384" ht="12.75" customHeight="1">
      <c r="C384" s="1"/>
      <c r="D384" s="1"/>
      <c r="E384" s="1"/>
      <c r="J384" s="111"/>
      <c r="M384" s="111"/>
      <c r="P384" s="111"/>
      <c r="S384" s="111"/>
    </row>
    <row r="385" ht="12.75" customHeight="1">
      <c r="C385" s="1"/>
      <c r="D385" s="1"/>
      <c r="E385" s="1"/>
      <c r="J385" s="111"/>
      <c r="M385" s="111"/>
      <c r="P385" s="111"/>
      <c r="S385" s="111"/>
    </row>
    <row r="386" ht="12.75" customHeight="1">
      <c r="C386" s="1"/>
      <c r="D386" s="1"/>
      <c r="E386" s="1"/>
      <c r="J386" s="111"/>
      <c r="M386" s="111"/>
      <c r="P386" s="111"/>
      <c r="S386" s="111"/>
    </row>
    <row r="387" ht="12.75" customHeight="1">
      <c r="C387" s="1"/>
      <c r="D387" s="1"/>
      <c r="E387" s="1"/>
      <c r="J387" s="111"/>
      <c r="M387" s="111"/>
      <c r="P387" s="111"/>
      <c r="S387" s="111"/>
    </row>
    <row r="388" ht="12.75" customHeight="1">
      <c r="C388" s="1"/>
      <c r="D388" s="1"/>
      <c r="E388" s="1"/>
      <c r="J388" s="111"/>
      <c r="M388" s="111"/>
      <c r="P388" s="111"/>
      <c r="S388" s="111"/>
    </row>
    <row r="389" ht="12.75" customHeight="1">
      <c r="C389" s="1"/>
      <c r="D389" s="1"/>
      <c r="E389" s="1"/>
      <c r="J389" s="111"/>
      <c r="M389" s="111"/>
      <c r="P389" s="111"/>
      <c r="S389" s="111"/>
    </row>
    <row r="390" ht="12.75" customHeight="1">
      <c r="C390" s="1"/>
      <c r="D390" s="1"/>
      <c r="E390" s="1"/>
      <c r="J390" s="111"/>
      <c r="M390" s="111"/>
      <c r="P390" s="111"/>
      <c r="S390" s="111"/>
    </row>
    <row r="391" ht="12.75" customHeight="1">
      <c r="C391" s="1"/>
      <c r="D391" s="1"/>
      <c r="E391" s="1"/>
      <c r="J391" s="111"/>
      <c r="M391" s="111"/>
      <c r="P391" s="111"/>
      <c r="S391" s="111"/>
    </row>
    <row r="392" ht="12.75" customHeight="1">
      <c r="C392" s="1"/>
      <c r="D392" s="1"/>
      <c r="E392" s="1"/>
      <c r="J392" s="111"/>
      <c r="M392" s="111"/>
      <c r="P392" s="111"/>
      <c r="S392" s="111"/>
    </row>
    <row r="393" ht="12.75" customHeight="1">
      <c r="C393" s="1"/>
      <c r="D393" s="1"/>
      <c r="E393" s="1"/>
      <c r="J393" s="111"/>
      <c r="M393" s="111"/>
      <c r="P393" s="111"/>
      <c r="S393" s="111"/>
    </row>
    <row r="394" ht="12.75" customHeight="1">
      <c r="C394" s="1"/>
      <c r="D394" s="1"/>
      <c r="E394" s="1"/>
      <c r="J394" s="111"/>
      <c r="M394" s="111"/>
      <c r="P394" s="111"/>
      <c r="S394" s="111"/>
    </row>
    <row r="395" ht="12.75" customHeight="1">
      <c r="C395" s="1"/>
      <c r="D395" s="1"/>
      <c r="E395" s="1"/>
      <c r="J395" s="111"/>
      <c r="M395" s="111"/>
      <c r="P395" s="111"/>
      <c r="S395" s="111"/>
    </row>
    <row r="396" ht="12.75" customHeight="1">
      <c r="C396" s="1"/>
      <c r="D396" s="1"/>
      <c r="E396" s="1"/>
      <c r="J396" s="111"/>
      <c r="M396" s="111"/>
      <c r="P396" s="111"/>
      <c r="S396" s="111"/>
    </row>
    <row r="397" ht="12.75" customHeight="1">
      <c r="C397" s="1"/>
      <c r="D397" s="1"/>
      <c r="E397" s="1"/>
      <c r="J397" s="111"/>
      <c r="M397" s="111"/>
      <c r="P397" s="111"/>
      <c r="S397" s="111"/>
    </row>
    <row r="398" ht="12.75" customHeight="1">
      <c r="C398" s="1"/>
      <c r="D398" s="1"/>
      <c r="E398" s="1"/>
      <c r="J398" s="111"/>
      <c r="M398" s="111"/>
      <c r="P398" s="111"/>
      <c r="S398" s="111"/>
    </row>
    <row r="399" ht="12.75" customHeight="1">
      <c r="C399" s="1"/>
      <c r="D399" s="1"/>
      <c r="E399" s="1"/>
      <c r="J399" s="111"/>
      <c r="M399" s="111"/>
      <c r="P399" s="111"/>
      <c r="S399" s="111"/>
    </row>
    <row r="400" ht="12.75" customHeight="1">
      <c r="C400" s="1"/>
      <c r="D400" s="1"/>
      <c r="E400" s="1"/>
      <c r="J400" s="111"/>
      <c r="M400" s="111"/>
      <c r="P400" s="111"/>
      <c r="S400" s="111"/>
    </row>
    <row r="401" ht="12.75" customHeight="1">
      <c r="C401" s="1"/>
      <c r="D401" s="1"/>
      <c r="E401" s="1"/>
      <c r="J401" s="111"/>
      <c r="M401" s="111"/>
      <c r="P401" s="111"/>
      <c r="S401" s="111"/>
    </row>
    <row r="402" ht="12.75" customHeight="1">
      <c r="C402" s="1"/>
      <c r="D402" s="1"/>
      <c r="E402" s="1"/>
      <c r="J402" s="111"/>
      <c r="M402" s="111"/>
      <c r="P402" s="111"/>
      <c r="S402" s="111"/>
    </row>
    <row r="403" ht="12.75" customHeight="1">
      <c r="C403" s="1"/>
      <c r="D403" s="1"/>
      <c r="E403" s="1"/>
      <c r="J403" s="111"/>
      <c r="M403" s="111"/>
      <c r="P403" s="111"/>
      <c r="S403" s="111"/>
    </row>
    <row r="404" ht="12.75" customHeight="1">
      <c r="C404" s="1"/>
      <c r="D404" s="1"/>
      <c r="E404" s="1"/>
      <c r="J404" s="111"/>
      <c r="M404" s="111"/>
      <c r="P404" s="111"/>
      <c r="S404" s="111"/>
    </row>
    <row r="405" ht="12.75" customHeight="1">
      <c r="C405" s="1"/>
      <c r="D405" s="1"/>
      <c r="E405" s="1"/>
      <c r="J405" s="111"/>
      <c r="M405" s="111"/>
      <c r="P405" s="111"/>
      <c r="S405" s="111"/>
    </row>
    <row r="406" ht="12.75" customHeight="1">
      <c r="C406" s="1"/>
      <c r="D406" s="1"/>
      <c r="E406" s="1"/>
      <c r="J406" s="111"/>
      <c r="M406" s="111"/>
      <c r="P406" s="111"/>
      <c r="S406" s="111"/>
    </row>
    <row r="407" ht="12.75" customHeight="1">
      <c r="C407" s="1"/>
      <c r="D407" s="1"/>
      <c r="E407" s="1"/>
      <c r="J407" s="111"/>
      <c r="M407" s="111"/>
      <c r="P407" s="111"/>
      <c r="S407" s="111"/>
    </row>
    <row r="408" ht="12.75" customHeight="1">
      <c r="C408" s="1"/>
      <c r="D408" s="1"/>
      <c r="E408" s="1"/>
      <c r="J408" s="111"/>
      <c r="M408" s="111"/>
      <c r="P408" s="111"/>
      <c r="S408" s="111"/>
    </row>
    <row r="409" ht="12.75" customHeight="1">
      <c r="C409" s="1"/>
      <c r="D409" s="1"/>
      <c r="E409" s="1"/>
      <c r="J409" s="111"/>
      <c r="M409" s="111"/>
      <c r="P409" s="111"/>
      <c r="S409" s="111"/>
    </row>
    <row r="410" ht="12.75" customHeight="1">
      <c r="C410" s="1"/>
      <c r="D410" s="1"/>
      <c r="E410" s="1"/>
      <c r="J410" s="111"/>
      <c r="M410" s="111"/>
      <c r="P410" s="111"/>
      <c r="S410" s="111"/>
    </row>
    <row r="411" ht="12.75" customHeight="1">
      <c r="C411" s="1"/>
      <c r="D411" s="1"/>
      <c r="E411" s="1"/>
      <c r="J411" s="111"/>
      <c r="M411" s="111"/>
      <c r="P411" s="111"/>
      <c r="S411" s="111"/>
    </row>
    <row r="412" ht="12.75" customHeight="1">
      <c r="C412" s="1"/>
      <c r="D412" s="1"/>
      <c r="E412" s="1"/>
      <c r="J412" s="111"/>
      <c r="M412" s="111"/>
      <c r="P412" s="111"/>
      <c r="S412" s="111"/>
    </row>
    <row r="413" ht="12.75" customHeight="1">
      <c r="C413" s="1"/>
      <c r="D413" s="1"/>
      <c r="E413" s="1"/>
      <c r="J413" s="111"/>
      <c r="M413" s="111"/>
      <c r="P413" s="111"/>
      <c r="S413" s="111"/>
    </row>
    <row r="414" ht="12.75" customHeight="1">
      <c r="C414" s="1"/>
      <c r="D414" s="1"/>
      <c r="E414" s="1"/>
      <c r="J414" s="111"/>
      <c r="M414" s="111"/>
      <c r="P414" s="111"/>
      <c r="S414" s="111"/>
    </row>
    <row r="415" ht="12.75" customHeight="1">
      <c r="C415" s="1"/>
      <c r="D415" s="1"/>
      <c r="E415" s="1"/>
      <c r="J415" s="111"/>
      <c r="M415" s="111"/>
      <c r="P415" s="111"/>
      <c r="S415" s="111"/>
    </row>
    <row r="416" ht="12.75" customHeight="1">
      <c r="C416" s="1"/>
      <c r="D416" s="1"/>
      <c r="E416" s="1"/>
      <c r="J416" s="111"/>
      <c r="M416" s="111"/>
      <c r="P416" s="111"/>
      <c r="S416" s="111"/>
    </row>
    <row r="417" ht="12.75" customHeight="1">
      <c r="C417" s="1"/>
      <c r="D417" s="1"/>
      <c r="E417" s="1"/>
      <c r="J417" s="111"/>
      <c r="M417" s="111"/>
      <c r="P417" s="111"/>
      <c r="S417" s="111"/>
    </row>
    <row r="418" ht="12.75" customHeight="1">
      <c r="C418" s="1"/>
      <c r="D418" s="1"/>
      <c r="E418" s="1"/>
      <c r="J418" s="111"/>
      <c r="M418" s="111"/>
      <c r="P418" s="111"/>
      <c r="S418" s="111"/>
    </row>
    <row r="419" ht="12.75" customHeight="1">
      <c r="C419" s="1"/>
      <c r="D419" s="1"/>
      <c r="E419" s="1"/>
      <c r="J419" s="111"/>
      <c r="M419" s="111"/>
      <c r="P419" s="111"/>
      <c r="S419" s="111"/>
    </row>
    <row r="420" ht="12.75" customHeight="1">
      <c r="C420" s="1"/>
      <c r="D420" s="1"/>
      <c r="E420" s="1"/>
      <c r="J420" s="111"/>
      <c r="M420" s="111"/>
      <c r="P420" s="111"/>
      <c r="S420" s="111"/>
    </row>
    <row r="421" ht="12.75" customHeight="1">
      <c r="C421" s="1"/>
      <c r="D421" s="1"/>
      <c r="E421" s="1"/>
      <c r="J421" s="111"/>
      <c r="M421" s="111"/>
      <c r="P421" s="111"/>
      <c r="S421" s="111"/>
    </row>
    <row r="422" ht="12.75" customHeight="1">
      <c r="C422" s="1"/>
      <c r="D422" s="1"/>
      <c r="E422" s="1"/>
      <c r="J422" s="111"/>
      <c r="M422" s="111"/>
      <c r="P422" s="111"/>
      <c r="S422" s="111"/>
    </row>
    <row r="423" ht="12.75" customHeight="1">
      <c r="C423" s="1"/>
      <c r="D423" s="1"/>
      <c r="E423" s="1"/>
      <c r="J423" s="111"/>
      <c r="M423" s="111"/>
      <c r="P423" s="111"/>
      <c r="S423" s="111"/>
    </row>
    <row r="424" ht="12.75" customHeight="1">
      <c r="C424" s="1"/>
      <c r="D424" s="1"/>
      <c r="E424" s="1"/>
      <c r="J424" s="111"/>
      <c r="M424" s="111"/>
      <c r="P424" s="111"/>
      <c r="S424" s="111"/>
    </row>
    <row r="425" ht="12.75" customHeight="1">
      <c r="C425" s="1"/>
      <c r="D425" s="1"/>
      <c r="E425" s="1"/>
      <c r="J425" s="111"/>
      <c r="M425" s="111"/>
      <c r="P425" s="111"/>
      <c r="S425" s="111"/>
    </row>
    <row r="426" ht="12.75" customHeight="1">
      <c r="C426" s="1"/>
      <c r="D426" s="1"/>
      <c r="E426" s="1"/>
      <c r="J426" s="111"/>
      <c r="M426" s="111"/>
      <c r="P426" s="111"/>
      <c r="S426" s="111"/>
    </row>
    <row r="427" ht="12.75" customHeight="1">
      <c r="C427" s="1"/>
      <c r="D427" s="1"/>
      <c r="E427" s="1"/>
      <c r="J427" s="111"/>
      <c r="M427" s="111"/>
      <c r="P427" s="111"/>
      <c r="S427" s="111"/>
    </row>
    <row r="428" ht="12.75" customHeight="1">
      <c r="C428" s="1"/>
      <c r="D428" s="1"/>
      <c r="E428" s="1"/>
      <c r="J428" s="111"/>
      <c r="M428" s="111"/>
      <c r="P428" s="111"/>
      <c r="S428" s="111"/>
    </row>
    <row r="429" ht="12.75" customHeight="1">
      <c r="C429" s="1"/>
      <c r="D429" s="1"/>
      <c r="E429" s="1"/>
      <c r="J429" s="111"/>
      <c r="M429" s="111"/>
      <c r="P429" s="111"/>
      <c r="S429" s="111"/>
    </row>
    <row r="430" ht="12.75" customHeight="1">
      <c r="C430" s="1"/>
      <c r="D430" s="1"/>
      <c r="E430" s="1"/>
      <c r="J430" s="111"/>
      <c r="M430" s="111"/>
      <c r="P430" s="111"/>
      <c r="S430" s="111"/>
    </row>
    <row r="431" ht="12.75" customHeight="1">
      <c r="C431" s="1"/>
      <c r="D431" s="1"/>
      <c r="E431" s="1"/>
      <c r="J431" s="111"/>
      <c r="M431" s="111"/>
      <c r="P431" s="111"/>
      <c r="S431" s="111"/>
    </row>
    <row r="432" ht="12.75" customHeight="1">
      <c r="C432" s="1"/>
      <c r="D432" s="1"/>
      <c r="E432" s="1"/>
      <c r="J432" s="111"/>
      <c r="M432" s="111"/>
      <c r="P432" s="111"/>
      <c r="S432" s="111"/>
    </row>
    <row r="433" ht="12.75" customHeight="1">
      <c r="C433" s="1"/>
      <c r="D433" s="1"/>
      <c r="E433" s="1"/>
      <c r="J433" s="111"/>
      <c r="M433" s="111"/>
      <c r="P433" s="111"/>
      <c r="S433" s="111"/>
    </row>
    <row r="434" ht="12.75" customHeight="1">
      <c r="C434" s="1"/>
      <c r="D434" s="1"/>
      <c r="E434" s="1"/>
      <c r="J434" s="111"/>
      <c r="M434" s="111"/>
      <c r="P434" s="111"/>
      <c r="S434" s="111"/>
    </row>
    <row r="435" ht="12.75" customHeight="1">
      <c r="C435" s="1"/>
      <c r="D435" s="1"/>
      <c r="E435" s="1"/>
      <c r="J435" s="111"/>
      <c r="M435" s="111"/>
      <c r="P435" s="111"/>
      <c r="S435" s="111"/>
    </row>
    <row r="436" ht="12.75" customHeight="1">
      <c r="C436" s="1"/>
      <c r="D436" s="1"/>
      <c r="E436" s="1"/>
      <c r="J436" s="111"/>
      <c r="M436" s="111"/>
      <c r="P436" s="111"/>
      <c r="S436" s="111"/>
    </row>
    <row r="437" ht="12.75" customHeight="1">
      <c r="C437" s="1"/>
      <c r="D437" s="1"/>
      <c r="E437" s="1"/>
      <c r="J437" s="111"/>
      <c r="M437" s="111"/>
      <c r="P437" s="111"/>
      <c r="S437" s="111"/>
    </row>
    <row r="438" ht="12.75" customHeight="1">
      <c r="C438" s="1"/>
      <c r="D438" s="1"/>
      <c r="E438" s="1"/>
      <c r="J438" s="111"/>
      <c r="M438" s="111"/>
      <c r="P438" s="111"/>
      <c r="S438" s="111"/>
    </row>
    <row r="439" ht="12.75" customHeight="1">
      <c r="C439" s="1"/>
      <c r="D439" s="1"/>
      <c r="E439" s="1"/>
      <c r="J439" s="111"/>
      <c r="M439" s="111"/>
      <c r="P439" s="111"/>
      <c r="S439" s="111"/>
    </row>
    <row r="440" ht="12.75" customHeight="1">
      <c r="C440" s="1"/>
      <c r="D440" s="1"/>
      <c r="E440" s="1"/>
      <c r="J440" s="111"/>
      <c r="M440" s="111"/>
      <c r="P440" s="111"/>
      <c r="S440" s="111"/>
    </row>
    <row r="441" ht="12.75" customHeight="1">
      <c r="C441" s="1"/>
      <c r="D441" s="1"/>
      <c r="E441" s="1"/>
      <c r="J441" s="111"/>
      <c r="M441" s="111"/>
      <c r="P441" s="111"/>
      <c r="S441" s="111"/>
    </row>
    <row r="442" ht="12.75" customHeight="1">
      <c r="C442" s="1"/>
      <c r="D442" s="1"/>
      <c r="E442" s="1"/>
      <c r="J442" s="111"/>
      <c r="M442" s="111"/>
      <c r="P442" s="111"/>
      <c r="S442" s="111"/>
    </row>
    <row r="443" ht="12.75" customHeight="1">
      <c r="C443" s="1"/>
      <c r="D443" s="1"/>
      <c r="E443" s="1"/>
      <c r="J443" s="111"/>
      <c r="M443" s="111"/>
      <c r="P443" s="111"/>
      <c r="S443" s="111"/>
    </row>
    <row r="444" ht="12.75" customHeight="1">
      <c r="C444" s="1"/>
      <c r="D444" s="1"/>
      <c r="E444" s="1"/>
      <c r="J444" s="111"/>
      <c r="M444" s="111"/>
      <c r="P444" s="111"/>
      <c r="S444" s="111"/>
    </row>
    <row r="445" ht="12.75" customHeight="1">
      <c r="C445" s="1"/>
      <c r="D445" s="1"/>
      <c r="E445" s="1"/>
      <c r="J445" s="111"/>
      <c r="M445" s="111"/>
      <c r="P445" s="111"/>
      <c r="S445" s="111"/>
    </row>
    <row r="446" ht="12.75" customHeight="1">
      <c r="C446" s="1"/>
      <c r="D446" s="1"/>
      <c r="E446" s="1"/>
      <c r="J446" s="111"/>
      <c r="M446" s="111"/>
      <c r="P446" s="111"/>
      <c r="S446" s="111"/>
    </row>
    <row r="447" ht="12.75" customHeight="1">
      <c r="C447" s="1"/>
      <c r="D447" s="1"/>
      <c r="E447" s="1"/>
      <c r="J447" s="111"/>
      <c r="M447" s="111"/>
      <c r="P447" s="111"/>
      <c r="S447" s="111"/>
    </row>
    <row r="448" ht="12.75" customHeight="1">
      <c r="C448" s="1"/>
      <c r="D448" s="1"/>
      <c r="E448" s="1"/>
      <c r="J448" s="111"/>
      <c r="M448" s="111"/>
      <c r="P448" s="111"/>
      <c r="S448" s="111"/>
    </row>
    <row r="449" ht="12.75" customHeight="1">
      <c r="C449" s="1"/>
      <c r="D449" s="1"/>
      <c r="E449" s="1"/>
      <c r="J449" s="111"/>
      <c r="M449" s="111"/>
      <c r="P449" s="111"/>
      <c r="S449" s="111"/>
    </row>
    <row r="450" ht="12.75" customHeight="1">
      <c r="C450" s="1"/>
      <c r="D450" s="1"/>
      <c r="E450" s="1"/>
      <c r="J450" s="111"/>
      <c r="M450" s="111"/>
      <c r="P450" s="111"/>
      <c r="S450" s="111"/>
    </row>
    <row r="451" ht="12.75" customHeight="1">
      <c r="C451" s="1"/>
      <c r="D451" s="1"/>
      <c r="E451" s="1"/>
      <c r="J451" s="111"/>
      <c r="M451" s="111"/>
      <c r="P451" s="111"/>
      <c r="S451" s="111"/>
    </row>
    <row r="452" ht="12.75" customHeight="1">
      <c r="C452" s="1"/>
      <c r="D452" s="1"/>
      <c r="E452" s="1"/>
      <c r="J452" s="111"/>
      <c r="M452" s="111"/>
      <c r="P452" s="111"/>
      <c r="S452" s="111"/>
    </row>
    <row r="453" ht="12.75" customHeight="1">
      <c r="C453" s="1"/>
      <c r="D453" s="1"/>
      <c r="E453" s="1"/>
      <c r="J453" s="111"/>
      <c r="M453" s="111"/>
      <c r="P453" s="111"/>
      <c r="S453" s="111"/>
    </row>
    <row r="454" ht="12.75" customHeight="1">
      <c r="C454" s="1"/>
      <c r="D454" s="1"/>
      <c r="E454" s="1"/>
      <c r="J454" s="111"/>
      <c r="M454" s="111"/>
      <c r="P454" s="111"/>
      <c r="S454" s="111"/>
    </row>
    <row r="455" ht="12.75" customHeight="1">
      <c r="C455" s="1"/>
      <c r="D455" s="1"/>
      <c r="E455" s="1"/>
      <c r="J455" s="111"/>
      <c r="M455" s="111"/>
      <c r="P455" s="111"/>
      <c r="S455" s="111"/>
    </row>
    <row r="456" ht="12.75" customHeight="1">
      <c r="C456" s="1"/>
      <c r="D456" s="1"/>
      <c r="E456" s="1"/>
      <c r="J456" s="111"/>
      <c r="M456" s="111"/>
      <c r="P456" s="111"/>
      <c r="S456" s="111"/>
    </row>
    <row r="457" ht="12.75" customHeight="1">
      <c r="C457" s="1"/>
      <c r="D457" s="1"/>
      <c r="E457" s="1"/>
      <c r="J457" s="111"/>
      <c r="M457" s="111"/>
      <c r="P457" s="111"/>
      <c r="S457" s="111"/>
    </row>
    <row r="458" ht="12.75" customHeight="1">
      <c r="C458" s="1"/>
      <c r="D458" s="1"/>
      <c r="E458" s="1"/>
      <c r="J458" s="111"/>
      <c r="M458" s="111"/>
      <c r="P458" s="111"/>
      <c r="S458" s="111"/>
    </row>
    <row r="459" ht="12.75" customHeight="1">
      <c r="C459" s="1"/>
      <c r="D459" s="1"/>
      <c r="E459" s="1"/>
      <c r="J459" s="111"/>
      <c r="M459" s="111"/>
      <c r="P459" s="111"/>
      <c r="S459" s="111"/>
    </row>
    <row r="460" ht="12.75" customHeight="1">
      <c r="C460" s="1"/>
      <c r="D460" s="1"/>
      <c r="E460" s="1"/>
      <c r="J460" s="111"/>
      <c r="M460" s="111"/>
      <c r="P460" s="111"/>
      <c r="S460" s="111"/>
    </row>
    <row r="461" ht="12.75" customHeight="1">
      <c r="C461" s="1"/>
      <c r="D461" s="1"/>
      <c r="E461" s="1"/>
      <c r="J461" s="111"/>
      <c r="M461" s="111"/>
      <c r="P461" s="111"/>
      <c r="S461" s="111"/>
    </row>
    <row r="462" ht="12.75" customHeight="1">
      <c r="C462" s="1"/>
      <c r="D462" s="1"/>
      <c r="E462" s="1"/>
      <c r="J462" s="111"/>
      <c r="M462" s="111"/>
      <c r="P462" s="111"/>
      <c r="S462" s="111"/>
    </row>
    <row r="463" ht="12.75" customHeight="1">
      <c r="C463" s="1"/>
      <c r="D463" s="1"/>
      <c r="E463" s="1"/>
      <c r="J463" s="111"/>
      <c r="M463" s="111"/>
      <c r="P463" s="111"/>
      <c r="S463" s="111"/>
    </row>
    <row r="464" ht="12.75" customHeight="1">
      <c r="C464" s="1"/>
      <c r="D464" s="1"/>
      <c r="E464" s="1"/>
      <c r="J464" s="111"/>
      <c r="M464" s="111"/>
      <c r="P464" s="111"/>
      <c r="S464" s="111"/>
    </row>
    <row r="465" ht="12.75" customHeight="1">
      <c r="C465" s="1"/>
      <c r="D465" s="1"/>
      <c r="E465" s="1"/>
      <c r="J465" s="111"/>
      <c r="M465" s="111"/>
      <c r="P465" s="111"/>
      <c r="S465" s="111"/>
    </row>
    <row r="466" ht="12.75" customHeight="1">
      <c r="C466" s="1"/>
      <c r="D466" s="1"/>
      <c r="E466" s="1"/>
      <c r="J466" s="111"/>
      <c r="M466" s="111"/>
      <c r="P466" s="111"/>
      <c r="S466" s="111"/>
    </row>
    <row r="467" ht="12.75" customHeight="1">
      <c r="C467" s="1"/>
      <c r="D467" s="1"/>
      <c r="E467" s="1"/>
      <c r="J467" s="111"/>
      <c r="M467" s="111"/>
      <c r="P467" s="111"/>
      <c r="S467" s="111"/>
    </row>
    <row r="468" ht="12.75" customHeight="1">
      <c r="C468" s="1"/>
      <c r="D468" s="1"/>
      <c r="E468" s="1"/>
      <c r="J468" s="111"/>
      <c r="M468" s="111"/>
      <c r="P468" s="111"/>
      <c r="S468" s="111"/>
    </row>
    <row r="469" ht="12.75" customHeight="1">
      <c r="C469" s="1"/>
      <c r="D469" s="1"/>
      <c r="E469" s="1"/>
      <c r="J469" s="111"/>
      <c r="M469" s="111"/>
      <c r="P469" s="111"/>
      <c r="S469" s="111"/>
    </row>
    <row r="470" ht="12.75" customHeight="1">
      <c r="C470" s="1"/>
      <c r="D470" s="1"/>
      <c r="E470" s="1"/>
      <c r="J470" s="111"/>
      <c r="M470" s="111"/>
      <c r="P470" s="111"/>
      <c r="S470" s="111"/>
    </row>
    <row r="471" ht="12.75" customHeight="1">
      <c r="C471" s="1"/>
      <c r="D471" s="1"/>
      <c r="E471" s="1"/>
      <c r="J471" s="111"/>
      <c r="M471" s="111"/>
      <c r="P471" s="111"/>
      <c r="S471" s="111"/>
    </row>
    <row r="472" ht="12.75" customHeight="1">
      <c r="C472" s="1"/>
      <c r="D472" s="1"/>
      <c r="E472" s="1"/>
      <c r="J472" s="111"/>
      <c r="M472" s="111"/>
      <c r="P472" s="111"/>
      <c r="S472" s="111"/>
    </row>
    <row r="473" ht="12.75" customHeight="1">
      <c r="C473" s="1"/>
      <c r="D473" s="1"/>
      <c r="E473" s="1"/>
      <c r="J473" s="111"/>
      <c r="M473" s="111"/>
      <c r="P473" s="111"/>
      <c r="S473" s="111"/>
    </row>
    <row r="474" ht="12.75" customHeight="1">
      <c r="C474" s="1"/>
      <c r="D474" s="1"/>
      <c r="E474" s="1"/>
      <c r="J474" s="111"/>
      <c r="M474" s="111"/>
      <c r="P474" s="111"/>
      <c r="S474" s="111"/>
    </row>
    <row r="475" ht="12.75" customHeight="1">
      <c r="C475" s="1"/>
      <c r="D475" s="1"/>
      <c r="E475" s="1"/>
      <c r="J475" s="111"/>
      <c r="M475" s="111"/>
      <c r="P475" s="111"/>
      <c r="S475" s="111"/>
    </row>
    <row r="476" ht="12.75" customHeight="1">
      <c r="C476" s="1"/>
      <c r="D476" s="1"/>
      <c r="E476" s="1"/>
      <c r="J476" s="111"/>
      <c r="M476" s="111"/>
      <c r="P476" s="111"/>
      <c r="S476" s="111"/>
    </row>
    <row r="477" ht="12.75" customHeight="1">
      <c r="C477" s="1"/>
      <c r="D477" s="1"/>
      <c r="E477" s="1"/>
      <c r="J477" s="111"/>
      <c r="M477" s="111"/>
      <c r="P477" s="111"/>
      <c r="S477" s="111"/>
    </row>
    <row r="478" ht="12.75" customHeight="1">
      <c r="C478" s="1"/>
      <c r="D478" s="1"/>
      <c r="E478" s="1"/>
      <c r="J478" s="111"/>
      <c r="M478" s="111"/>
      <c r="P478" s="111"/>
      <c r="S478" s="111"/>
    </row>
    <row r="479" ht="12.75" customHeight="1">
      <c r="C479" s="1"/>
      <c r="D479" s="1"/>
      <c r="E479" s="1"/>
      <c r="J479" s="111"/>
      <c r="M479" s="111"/>
      <c r="P479" s="111"/>
      <c r="S479" s="111"/>
    </row>
    <row r="480" ht="12.75" customHeight="1">
      <c r="C480" s="1"/>
      <c r="D480" s="1"/>
      <c r="E480" s="1"/>
      <c r="J480" s="111"/>
      <c r="M480" s="111"/>
      <c r="P480" s="111"/>
      <c r="S480" s="111"/>
    </row>
    <row r="481" ht="12.75" customHeight="1">
      <c r="C481" s="1"/>
      <c r="D481" s="1"/>
      <c r="E481" s="1"/>
      <c r="J481" s="111"/>
      <c r="M481" s="111"/>
      <c r="P481" s="111"/>
      <c r="S481" s="111"/>
    </row>
    <row r="482" ht="12.75" customHeight="1">
      <c r="C482" s="1"/>
      <c r="D482" s="1"/>
      <c r="E482" s="1"/>
      <c r="J482" s="111"/>
      <c r="M482" s="111"/>
      <c r="P482" s="111"/>
      <c r="S482" s="111"/>
    </row>
    <row r="483" ht="12.75" customHeight="1">
      <c r="C483" s="1"/>
      <c r="D483" s="1"/>
      <c r="E483" s="1"/>
      <c r="J483" s="111"/>
      <c r="M483" s="111"/>
      <c r="P483" s="111"/>
      <c r="S483" s="111"/>
    </row>
    <row r="484" ht="12.75" customHeight="1">
      <c r="C484" s="1"/>
      <c r="D484" s="1"/>
      <c r="E484" s="1"/>
      <c r="J484" s="111"/>
      <c r="M484" s="111"/>
      <c r="P484" s="111"/>
      <c r="S484" s="111"/>
    </row>
    <row r="485" ht="12.75" customHeight="1">
      <c r="C485" s="1"/>
      <c r="D485" s="1"/>
      <c r="E485" s="1"/>
      <c r="J485" s="111"/>
      <c r="M485" s="111"/>
      <c r="P485" s="111"/>
      <c r="S485" s="111"/>
    </row>
    <row r="486" ht="12.75" customHeight="1">
      <c r="C486" s="1"/>
      <c r="D486" s="1"/>
      <c r="E486" s="1"/>
      <c r="J486" s="111"/>
      <c r="M486" s="111"/>
      <c r="P486" s="111"/>
      <c r="S486" s="111"/>
    </row>
    <row r="487" ht="12.75" customHeight="1">
      <c r="C487" s="1"/>
      <c r="D487" s="1"/>
      <c r="E487" s="1"/>
      <c r="J487" s="111"/>
      <c r="M487" s="111"/>
      <c r="P487" s="111"/>
      <c r="S487" s="111"/>
    </row>
    <row r="488" ht="12.75" customHeight="1">
      <c r="C488" s="1"/>
      <c r="D488" s="1"/>
      <c r="E488" s="1"/>
      <c r="J488" s="111"/>
      <c r="M488" s="111"/>
      <c r="P488" s="111"/>
      <c r="S488" s="111"/>
    </row>
    <row r="489" ht="12.75" customHeight="1">
      <c r="C489" s="1"/>
      <c r="D489" s="1"/>
      <c r="E489" s="1"/>
      <c r="J489" s="111"/>
      <c r="M489" s="111"/>
      <c r="P489" s="111"/>
      <c r="S489" s="111"/>
    </row>
    <row r="490" ht="12.75" customHeight="1">
      <c r="C490" s="1"/>
      <c r="D490" s="1"/>
      <c r="E490" s="1"/>
      <c r="J490" s="111"/>
      <c r="M490" s="111"/>
      <c r="P490" s="111"/>
      <c r="S490" s="111"/>
    </row>
    <row r="491" ht="12.75" customHeight="1">
      <c r="C491" s="1"/>
      <c r="D491" s="1"/>
      <c r="E491" s="1"/>
      <c r="J491" s="111"/>
      <c r="M491" s="111"/>
      <c r="P491" s="111"/>
      <c r="S491" s="111"/>
    </row>
    <row r="492" ht="12.75" customHeight="1">
      <c r="C492" s="1"/>
      <c r="D492" s="1"/>
      <c r="E492" s="1"/>
      <c r="J492" s="111"/>
      <c r="M492" s="111"/>
      <c r="P492" s="111"/>
      <c r="S492" s="111"/>
    </row>
    <row r="493" ht="12.75" customHeight="1">
      <c r="C493" s="1"/>
      <c r="D493" s="1"/>
      <c r="E493" s="1"/>
      <c r="J493" s="111"/>
      <c r="M493" s="111"/>
      <c r="P493" s="111"/>
      <c r="S493" s="111"/>
    </row>
    <row r="494" ht="12.75" customHeight="1">
      <c r="C494" s="1"/>
      <c r="D494" s="1"/>
      <c r="E494" s="1"/>
      <c r="J494" s="111"/>
      <c r="M494" s="111"/>
      <c r="P494" s="111"/>
      <c r="S494" s="111"/>
    </row>
    <row r="495" ht="12.75" customHeight="1">
      <c r="C495" s="1"/>
      <c r="D495" s="1"/>
      <c r="E495" s="1"/>
      <c r="J495" s="111"/>
      <c r="M495" s="111"/>
      <c r="P495" s="111"/>
      <c r="S495" s="111"/>
    </row>
    <row r="496" ht="12.75" customHeight="1">
      <c r="C496" s="1"/>
      <c r="D496" s="1"/>
      <c r="E496" s="1"/>
      <c r="J496" s="111"/>
      <c r="M496" s="111"/>
      <c r="P496" s="111"/>
      <c r="S496" s="111"/>
    </row>
    <row r="497" ht="12.75" customHeight="1">
      <c r="C497" s="1"/>
      <c r="D497" s="1"/>
      <c r="E497" s="1"/>
      <c r="J497" s="111"/>
      <c r="M497" s="111"/>
      <c r="P497" s="111"/>
      <c r="S497" s="111"/>
    </row>
    <row r="498" ht="12.75" customHeight="1">
      <c r="C498" s="1"/>
      <c r="D498" s="1"/>
      <c r="E498" s="1"/>
      <c r="J498" s="111"/>
      <c r="M498" s="111"/>
      <c r="P498" s="111"/>
      <c r="S498" s="111"/>
    </row>
    <row r="499" ht="12.75" customHeight="1">
      <c r="C499" s="1"/>
      <c r="D499" s="1"/>
      <c r="E499" s="1"/>
      <c r="J499" s="111"/>
      <c r="M499" s="111"/>
      <c r="P499" s="111"/>
      <c r="S499" s="111"/>
    </row>
    <row r="500" ht="12.75" customHeight="1">
      <c r="C500" s="1"/>
      <c r="D500" s="1"/>
      <c r="E500" s="1"/>
      <c r="J500" s="111"/>
      <c r="M500" s="111"/>
      <c r="P500" s="111"/>
      <c r="S500" s="111"/>
    </row>
    <row r="501" ht="12.75" customHeight="1">
      <c r="C501" s="1"/>
      <c r="D501" s="1"/>
      <c r="E501" s="1"/>
      <c r="J501" s="111"/>
      <c r="M501" s="111"/>
      <c r="P501" s="111"/>
      <c r="S501" s="111"/>
    </row>
    <row r="502" ht="12.75" customHeight="1">
      <c r="C502" s="1"/>
      <c r="D502" s="1"/>
      <c r="E502" s="1"/>
      <c r="J502" s="111"/>
      <c r="M502" s="111"/>
      <c r="P502" s="111"/>
      <c r="S502" s="111"/>
    </row>
    <row r="503" ht="12.75" customHeight="1">
      <c r="C503" s="1"/>
      <c r="D503" s="1"/>
      <c r="E503" s="1"/>
      <c r="J503" s="111"/>
      <c r="M503" s="111"/>
      <c r="P503" s="111"/>
      <c r="S503" s="111"/>
    </row>
    <row r="504" ht="12.75" customHeight="1">
      <c r="C504" s="1"/>
      <c r="D504" s="1"/>
      <c r="E504" s="1"/>
      <c r="J504" s="111"/>
      <c r="M504" s="111"/>
      <c r="P504" s="111"/>
      <c r="S504" s="111"/>
    </row>
    <row r="505" ht="12.75" customHeight="1">
      <c r="C505" s="1"/>
      <c r="D505" s="1"/>
      <c r="E505" s="1"/>
      <c r="J505" s="111"/>
      <c r="M505" s="111"/>
      <c r="P505" s="111"/>
      <c r="S505" s="111"/>
    </row>
    <row r="506" ht="12.75" customHeight="1">
      <c r="C506" s="1"/>
      <c r="D506" s="1"/>
      <c r="E506" s="1"/>
      <c r="J506" s="111"/>
      <c r="M506" s="111"/>
      <c r="P506" s="111"/>
      <c r="S506" s="111"/>
    </row>
    <row r="507" ht="12.75" customHeight="1">
      <c r="C507" s="1"/>
      <c r="D507" s="1"/>
      <c r="E507" s="1"/>
      <c r="J507" s="111"/>
      <c r="M507" s="111"/>
      <c r="P507" s="111"/>
      <c r="S507" s="111"/>
    </row>
    <row r="508" ht="12.75" customHeight="1">
      <c r="C508" s="1"/>
      <c r="D508" s="1"/>
      <c r="E508" s="1"/>
      <c r="J508" s="111"/>
      <c r="M508" s="111"/>
      <c r="P508" s="111"/>
      <c r="S508" s="111"/>
    </row>
    <row r="509" ht="12.75" customHeight="1">
      <c r="C509" s="1"/>
      <c r="D509" s="1"/>
      <c r="E509" s="1"/>
      <c r="J509" s="111"/>
      <c r="M509" s="111"/>
      <c r="P509" s="111"/>
      <c r="S509" s="111"/>
    </row>
    <row r="510" ht="12.75" customHeight="1">
      <c r="C510" s="1"/>
      <c r="D510" s="1"/>
      <c r="E510" s="1"/>
      <c r="J510" s="111"/>
      <c r="M510" s="111"/>
      <c r="P510" s="111"/>
      <c r="S510" s="111"/>
    </row>
    <row r="511" ht="12.75" customHeight="1">
      <c r="C511" s="1"/>
      <c r="D511" s="1"/>
      <c r="E511" s="1"/>
      <c r="J511" s="111"/>
      <c r="M511" s="111"/>
      <c r="P511" s="111"/>
      <c r="S511" s="111"/>
    </row>
    <row r="512" ht="12.75" customHeight="1">
      <c r="C512" s="1"/>
      <c r="D512" s="1"/>
      <c r="E512" s="1"/>
      <c r="J512" s="111"/>
      <c r="M512" s="111"/>
      <c r="P512" s="111"/>
      <c r="S512" s="111"/>
    </row>
    <row r="513" ht="12.75" customHeight="1">
      <c r="C513" s="1"/>
      <c r="D513" s="1"/>
      <c r="E513" s="1"/>
      <c r="J513" s="111"/>
      <c r="M513" s="111"/>
      <c r="P513" s="111"/>
      <c r="S513" s="111"/>
    </row>
    <row r="514" ht="12.75" customHeight="1">
      <c r="C514" s="1"/>
      <c r="D514" s="1"/>
      <c r="E514" s="1"/>
      <c r="J514" s="111"/>
      <c r="M514" s="111"/>
      <c r="P514" s="111"/>
      <c r="S514" s="111"/>
    </row>
    <row r="515" ht="12.75" customHeight="1">
      <c r="C515" s="1"/>
      <c r="D515" s="1"/>
      <c r="E515" s="1"/>
      <c r="J515" s="111"/>
      <c r="M515" s="111"/>
      <c r="P515" s="111"/>
      <c r="S515" s="111"/>
    </row>
    <row r="516" ht="12.75" customHeight="1">
      <c r="C516" s="1"/>
      <c r="D516" s="1"/>
      <c r="E516" s="1"/>
      <c r="J516" s="111"/>
      <c r="M516" s="111"/>
      <c r="P516" s="111"/>
      <c r="S516" s="111"/>
    </row>
    <row r="517" ht="12.75" customHeight="1">
      <c r="C517" s="1"/>
      <c r="D517" s="1"/>
      <c r="E517" s="1"/>
      <c r="J517" s="111"/>
      <c r="M517" s="111"/>
      <c r="P517" s="111"/>
      <c r="S517" s="111"/>
    </row>
    <row r="518" ht="12.75" customHeight="1">
      <c r="C518" s="1"/>
      <c r="D518" s="1"/>
      <c r="E518" s="1"/>
      <c r="J518" s="111"/>
      <c r="M518" s="111"/>
      <c r="P518" s="111"/>
      <c r="S518" s="111"/>
    </row>
    <row r="519" ht="12.75" customHeight="1">
      <c r="C519" s="1"/>
      <c r="D519" s="1"/>
      <c r="E519" s="1"/>
      <c r="J519" s="111"/>
      <c r="M519" s="111"/>
      <c r="P519" s="111"/>
      <c r="S519" s="111"/>
    </row>
    <row r="520" ht="12.75" customHeight="1">
      <c r="C520" s="1"/>
      <c r="D520" s="1"/>
      <c r="E520" s="1"/>
      <c r="J520" s="111"/>
      <c r="M520" s="111"/>
      <c r="P520" s="111"/>
      <c r="S520" s="111"/>
    </row>
    <row r="521" ht="12.75" customHeight="1">
      <c r="C521" s="1"/>
      <c r="D521" s="1"/>
      <c r="E521" s="1"/>
      <c r="J521" s="111"/>
      <c r="M521" s="111"/>
      <c r="P521" s="111"/>
      <c r="S521" s="111"/>
    </row>
    <row r="522" ht="12.75" customHeight="1">
      <c r="C522" s="1"/>
      <c r="D522" s="1"/>
      <c r="E522" s="1"/>
      <c r="J522" s="111"/>
      <c r="M522" s="111"/>
      <c r="P522" s="111"/>
      <c r="S522" s="111"/>
    </row>
    <row r="523" ht="12.75" customHeight="1">
      <c r="C523" s="1"/>
      <c r="D523" s="1"/>
      <c r="E523" s="1"/>
      <c r="J523" s="111"/>
      <c r="M523" s="111"/>
      <c r="P523" s="111"/>
      <c r="S523" s="111"/>
    </row>
    <row r="524" ht="12.75" customHeight="1">
      <c r="C524" s="1"/>
      <c r="D524" s="1"/>
      <c r="E524" s="1"/>
      <c r="J524" s="111"/>
      <c r="M524" s="111"/>
      <c r="P524" s="111"/>
      <c r="S524" s="111"/>
    </row>
    <row r="525" ht="12.75" customHeight="1">
      <c r="C525" s="1"/>
      <c r="D525" s="1"/>
      <c r="E525" s="1"/>
      <c r="J525" s="111"/>
      <c r="M525" s="111"/>
      <c r="P525" s="111"/>
      <c r="S525" s="111"/>
    </row>
    <row r="526" ht="12.75" customHeight="1">
      <c r="C526" s="1"/>
      <c r="D526" s="1"/>
      <c r="E526" s="1"/>
      <c r="J526" s="111"/>
      <c r="M526" s="111"/>
      <c r="P526" s="111"/>
      <c r="S526" s="111"/>
    </row>
    <row r="527" ht="12.75" customHeight="1">
      <c r="C527" s="1"/>
      <c r="D527" s="1"/>
      <c r="E527" s="1"/>
      <c r="J527" s="111"/>
      <c r="M527" s="111"/>
      <c r="P527" s="111"/>
      <c r="S527" s="111"/>
    </row>
    <row r="528" ht="12.75" customHeight="1">
      <c r="C528" s="1"/>
      <c r="D528" s="1"/>
      <c r="E528" s="1"/>
      <c r="J528" s="111"/>
      <c r="M528" s="111"/>
      <c r="P528" s="111"/>
      <c r="S528" s="111"/>
    </row>
    <row r="529" ht="12.75" customHeight="1">
      <c r="C529" s="1"/>
      <c r="D529" s="1"/>
      <c r="E529" s="1"/>
      <c r="J529" s="111"/>
      <c r="M529" s="111"/>
      <c r="P529" s="111"/>
      <c r="S529" s="111"/>
    </row>
    <row r="530" ht="12.75" customHeight="1">
      <c r="C530" s="1"/>
      <c r="D530" s="1"/>
      <c r="E530" s="1"/>
      <c r="J530" s="111"/>
      <c r="M530" s="111"/>
      <c r="P530" s="111"/>
      <c r="S530" s="111"/>
    </row>
    <row r="531" ht="12.75" customHeight="1">
      <c r="C531" s="1"/>
      <c r="D531" s="1"/>
      <c r="E531" s="1"/>
      <c r="J531" s="111"/>
      <c r="M531" s="111"/>
      <c r="P531" s="111"/>
      <c r="S531" s="111"/>
    </row>
    <row r="532" ht="12.75" customHeight="1">
      <c r="C532" s="1"/>
      <c r="D532" s="1"/>
      <c r="E532" s="1"/>
      <c r="J532" s="111"/>
      <c r="M532" s="111"/>
      <c r="P532" s="111"/>
      <c r="S532" s="111"/>
    </row>
    <row r="533" ht="12.75" customHeight="1">
      <c r="C533" s="1"/>
      <c r="D533" s="1"/>
      <c r="E533" s="1"/>
      <c r="J533" s="111"/>
      <c r="M533" s="111"/>
      <c r="P533" s="111"/>
      <c r="S533" s="111"/>
    </row>
    <row r="534" ht="12.75" customHeight="1">
      <c r="C534" s="1"/>
      <c r="D534" s="1"/>
      <c r="E534" s="1"/>
      <c r="J534" s="111"/>
      <c r="M534" s="111"/>
      <c r="P534" s="111"/>
      <c r="S534" s="111"/>
    </row>
    <row r="535" ht="12.75" customHeight="1">
      <c r="C535" s="1"/>
      <c r="D535" s="1"/>
      <c r="E535" s="1"/>
      <c r="J535" s="111"/>
      <c r="M535" s="111"/>
      <c r="P535" s="111"/>
      <c r="S535" s="111"/>
    </row>
    <row r="536" ht="12.75" customHeight="1">
      <c r="C536" s="1"/>
      <c r="D536" s="1"/>
      <c r="E536" s="1"/>
      <c r="J536" s="111"/>
      <c r="M536" s="111"/>
      <c r="P536" s="111"/>
      <c r="S536" s="111"/>
    </row>
    <row r="537" ht="12.75" customHeight="1">
      <c r="C537" s="1"/>
      <c r="D537" s="1"/>
      <c r="E537" s="1"/>
      <c r="J537" s="111"/>
      <c r="M537" s="111"/>
      <c r="P537" s="111"/>
      <c r="S537" s="111"/>
    </row>
    <row r="538" ht="12.75" customHeight="1">
      <c r="C538" s="1"/>
      <c r="D538" s="1"/>
      <c r="E538" s="1"/>
      <c r="J538" s="111"/>
      <c r="M538" s="111"/>
      <c r="P538" s="111"/>
      <c r="S538" s="111"/>
    </row>
    <row r="539" ht="12.75" customHeight="1">
      <c r="C539" s="1"/>
      <c r="D539" s="1"/>
      <c r="E539" s="1"/>
      <c r="J539" s="111"/>
      <c r="M539" s="111"/>
      <c r="P539" s="111"/>
      <c r="S539" s="111"/>
    </row>
    <row r="540" ht="12.75" customHeight="1">
      <c r="C540" s="1"/>
      <c r="D540" s="1"/>
      <c r="E540" s="1"/>
      <c r="J540" s="111"/>
      <c r="M540" s="111"/>
      <c r="P540" s="111"/>
      <c r="S540" s="111"/>
    </row>
    <row r="541" ht="12.75" customHeight="1">
      <c r="C541" s="1"/>
      <c r="D541" s="1"/>
      <c r="E541" s="1"/>
      <c r="J541" s="111"/>
      <c r="M541" s="111"/>
      <c r="P541" s="111"/>
      <c r="S541" s="111"/>
    </row>
    <row r="542" ht="12.75" customHeight="1">
      <c r="C542" s="1"/>
      <c r="D542" s="1"/>
      <c r="E542" s="1"/>
      <c r="J542" s="111"/>
      <c r="M542" s="111"/>
      <c r="P542" s="111"/>
      <c r="S542" s="111"/>
    </row>
    <row r="543" ht="12.75" customHeight="1">
      <c r="C543" s="1"/>
      <c r="D543" s="1"/>
      <c r="E543" s="1"/>
      <c r="J543" s="111"/>
      <c r="M543" s="111"/>
      <c r="P543" s="111"/>
      <c r="S543" s="111"/>
    </row>
    <row r="544" ht="12.75" customHeight="1">
      <c r="C544" s="1"/>
      <c r="D544" s="1"/>
      <c r="E544" s="1"/>
      <c r="J544" s="111"/>
      <c r="M544" s="111"/>
      <c r="P544" s="111"/>
      <c r="S544" s="111"/>
    </row>
    <row r="545" ht="12.75" customHeight="1">
      <c r="C545" s="1"/>
      <c r="D545" s="1"/>
      <c r="E545" s="1"/>
      <c r="J545" s="111"/>
      <c r="M545" s="111"/>
      <c r="P545" s="111"/>
      <c r="S545" s="111"/>
    </row>
    <row r="546" ht="12.75" customHeight="1">
      <c r="C546" s="1"/>
      <c r="D546" s="1"/>
      <c r="E546" s="1"/>
      <c r="J546" s="111"/>
      <c r="M546" s="111"/>
      <c r="P546" s="111"/>
      <c r="S546" s="111"/>
    </row>
    <row r="547" ht="12.75" customHeight="1">
      <c r="C547" s="1"/>
      <c r="D547" s="1"/>
      <c r="E547" s="1"/>
      <c r="J547" s="111"/>
      <c r="M547" s="111"/>
      <c r="P547" s="111"/>
      <c r="S547" s="111"/>
    </row>
    <row r="548" ht="12.75" customHeight="1">
      <c r="C548" s="1"/>
      <c r="D548" s="1"/>
      <c r="E548" s="1"/>
      <c r="J548" s="111"/>
      <c r="M548" s="111"/>
      <c r="P548" s="111"/>
      <c r="S548" s="111"/>
    </row>
    <row r="549" ht="12.75" customHeight="1">
      <c r="C549" s="1"/>
      <c r="D549" s="1"/>
      <c r="E549" s="1"/>
      <c r="J549" s="111"/>
      <c r="M549" s="111"/>
      <c r="P549" s="111"/>
      <c r="S549" s="111"/>
    </row>
    <row r="550" ht="12.75" customHeight="1">
      <c r="C550" s="1"/>
      <c r="D550" s="1"/>
      <c r="E550" s="1"/>
      <c r="J550" s="111"/>
      <c r="M550" s="111"/>
      <c r="P550" s="111"/>
      <c r="S550" s="111"/>
    </row>
    <row r="551" ht="12.75" customHeight="1">
      <c r="C551" s="1"/>
      <c r="D551" s="1"/>
      <c r="E551" s="1"/>
      <c r="J551" s="111"/>
      <c r="M551" s="111"/>
      <c r="P551" s="111"/>
      <c r="S551" s="111"/>
    </row>
    <row r="552" ht="12.75" customHeight="1">
      <c r="C552" s="1"/>
      <c r="D552" s="1"/>
      <c r="E552" s="1"/>
      <c r="J552" s="111"/>
      <c r="M552" s="111"/>
      <c r="P552" s="111"/>
      <c r="S552" s="111"/>
    </row>
    <row r="553" ht="12.75" customHeight="1">
      <c r="C553" s="1"/>
      <c r="D553" s="1"/>
      <c r="E553" s="1"/>
      <c r="J553" s="111"/>
      <c r="M553" s="111"/>
      <c r="P553" s="111"/>
      <c r="S553" s="111"/>
    </row>
    <row r="554" ht="12.75" customHeight="1">
      <c r="C554" s="1"/>
      <c r="D554" s="1"/>
      <c r="E554" s="1"/>
      <c r="J554" s="111"/>
      <c r="M554" s="111"/>
      <c r="P554" s="111"/>
      <c r="S554" s="111"/>
    </row>
    <row r="555" ht="12.75" customHeight="1">
      <c r="C555" s="1"/>
      <c r="D555" s="1"/>
      <c r="E555" s="1"/>
      <c r="J555" s="111"/>
      <c r="M555" s="111"/>
      <c r="P555" s="111"/>
      <c r="S555" s="111"/>
    </row>
    <row r="556" ht="12.75" customHeight="1">
      <c r="C556" s="1"/>
      <c r="D556" s="1"/>
      <c r="E556" s="1"/>
      <c r="J556" s="111"/>
      <c r="M556" s="111"/>
      <c r="P556" s="111"/>
      <c r="S556" s="111"/>
    </row>
    <row r="557" ht="12.75" customHeight="1">
      <c r="C557" s="1"/>
      <c r="D557" s="1"/>
      <c r="E557" s="1"/>
      <c r="J557" s="111"/>
      <c r="M557" s="111"/>
      <c r="P557" s="111"/>
      <c r="S557" s="111"/>
    </row>
    <row r="558" ht="12.75" customHeight="1">
      <c r="C558" s="1"/>
      <c r="D558" s="1"/>
      <c r="E558" s="1"/>
      <c r="J558" s="111"/>
      <c r="M558" s="111"/>
      <c r="P558" s="111"/>
      <c r="S558" s="111"/>
    </row>
    <row r="559" ht="12.75" customHeight="1">
      <c r="C559" s="1"/>
      <c r="D559" s="1"/>
      <c r="E559" s="1"/>
      <c r="J559" s="111"/>
      <c r="M559" s="111"/>
      <c r="P559" s="111"/>
      <c r="S559" s="111"/>
    </row>
    <row r="560" ht="12.75" customHeight="1">
      <c r="C560" s="1"/>
      <c r="D560" s="1"/>
      <c r="E560" s="1"/>
      <c r="J560" s="111"/>
      <c r="M560" s="111"/>
      <c r="P560" s="111"/>
      <c r="S560" s="111"/>
    </row>
    <row r="561" ht="12.75" customHeight="1">
      <c r="C561" s="1"/>
      <c r="D561" s="1"/>
      <c r="E561" s="1"/>
      <c r="J561" s="111"/>
      <c r="M561" s="111"/>
      <c r="P561" s="111"/>
      <c r="S561" s="111"/>
    </row>
    <row r="562" ht="12.75" customHeight="1">
      <c r="C562" s="1"/>
      <c r="D562" s="1"/>
      <c r="E562" s="1"/>
      <c r="J562" s="111"/>
      <c r="M562" s="111"/>
      <c r="P562" s="111"/>
      <c r="S562" s="111"/>
    </row>
    <row r="563" ht="12.75" customHeight="1">
      <c r="C563" s="1"/>
      <c r="D563" s="1"/>
      <c r="E563" s="1"/>
      <c r="J563" s="111"/>
      <c r="M563" s="111"/>
      <c r="P563" s="111"/>
      <c r="S563" s="111"/>
    </row>
    <row r="564" ht="12.75" customHeight="1">
      <c r="C564" s="1"/>
      <c r="D564" s="1"/>
      <c r="E564" s="1"/>
      <c r="J564" s="111"/>
      <c r="M564" s="111"/>
      <c r="P564" s="111"/>
      <c r="S564" s="111"/>
    </row>
    <row r="565" ht="12.75" customHeight="1">
      <c r="C565" s="1"/>
      <c r="D565" s="1"/>
      <c r="E565" s="1"/>
      <c r="J565" s="111"/>
      <c r="M565" s="111"/>
      <c r="P565" s="111"/>
      <c r="S565" s="111"/>
    </row>
    <row r="566" ht="12.75" customHeight="1">
      <c r="C566" s="1"/>
      <c r="D566" s="1"/>
      <c r="E566" s="1"/>
      <c r="J566" s="111"/>
      <c r="M566" s="111"/>
      <c r="P566" s="111"/>
      <c r="S566" s="111"/>
    </row>
    <row r="567" ht="12.75" customHeight="1">
      <c r="C567" s="1"/>
      <c r="D567" s="1"/>
      <c r="E567" s="1"/>
      <c r="J567" s="111"/>
      <c r="M567" s="111"/>
      <c r="P567" s="111"/>
      <c r="S567" s="111"/>
    </row>
    <row r="568" ht="12.75" customHeight="1">
      <c r="C568" s="1"/>
      <c r="D568" s="1"/>
      <c r="E568" s="1"/>
      <c r="J568" s="111"/>
      <c r="M568" s="111"/>
      <c r="P568" s="111"/>
      <c r="S568" s="111"/>
    </row>
    <row r="569" ht="12.75" customHeight="1">
      <c r="C569" s="1"/>
      <c r="D569" s="1"/>
      <c r="E569" s="1"/>
      <c r="J569" s="111"/>
      <c r="M569" s="111"/>
      <c r="P569" s="111"/>
      <c r="S569" s="111"/>
    </row>
    <row r="570" ht="12.75" customHeight="1">
      <c r="C570" s="1"/>
      <c r="D570" s="1"/>
      <c r="E570" s="1"/>
      <c r="J570" s="111"/>
      <c r="M570" s="111"/>
      <c r="P570" s="111"/>
      <c r="S570" s="111"/>
    </row>
    <row r="571" ht="12.75" customHeight="1">
      <c r="C571" s="1"/>
      <c r="D571" s="1"/>
      <c r="E571" s="1"/>
      <c r="J571" s="111"/>
      <c r="M571" s="111"/>
      <c r="P571" s="111"/>
      <c r="S571" s="111"/>
    </row>
    <row r="572" ht="12.75" customHeight="1">
      <c r="C572" s="1"/>
      <c r="D572" s="1"/>
      <c r="E572" s="1"/>
      <c r="J572" s="111"/>
      <c r="M572" s="111"/>
      <c r="P572" s="111"/>
      <c r="S572" s="111"/>
    </row>
    <row r="573" ht="12.75" customHeight="1">
      <c r="C573" s="1"/>
      <c r="D573" s="1"/>
      <c r="E573" s="1"/>
      <c r="J573" s="111"/>
      <c r="M573" s="111"/>
      <c r="P573" s="111"/>
      <c r="S573" s="111"/>
    </row>
    <row r="574" ht="12.75" customHeight="1">
      <c r="C574" s="1"/>
      <c r="D574" s="1"/>
      <c r="E574" s="1"/>
      <c r="J574" s="111"/>
      <c r="M574" s="111"/>
      <c r="P574" s="111"/>
      <c r="S574" s="111"/>
    </row>
    <row r="575" ht="12.75" customHeight="1">
      <c r="C575" s="1"/>
      <c r="D575" s="1"/>
      <c r="E575" s="1"/>
      <c r="J575" s="111"/>
      <c r="M575" s="111"/>
      <c r="P575" s="111"/>
      <c r="S575" s="111"/>
    </row>
    <row r="576" ht="12.75" customHeight="1">
      <c r="C576" s="1"/>
      <c r="D576" s="1"/>
      <c r="E576" s="1"/>
      <c r="J576" s="111"/>
      <c r="M576" s="111"/>
      <c r="P576" s="111"/>
      <c r="S576" s="111"/>
    </row>
    <row r="577" ht="12.75" customHeight="1">
      <c r="C577" s="1"/>
      <c r="D577" s="1"/>
      <c r="E577" s="1"/>
      <c r="J577" s="111"/>
      <c r="M577" s="111"/>
      <c r="P577" s="111"/>
      <c r="S577" s="111"/>
    </row>
    <row r="578" ht="12.75" customHeight="1">
      <c r="C578" s="1"/>
      <c r="D578" s="1"/>
      <c r="E578" s="1"/>
      <c r="J578" s="111"/>
      <c r="M578" s="111"/>
      <c r="P578" s="111"/>
      <c r="S578" s="111"/>
    </row>
    <row r="579" ht="12.75" customHeight="1">
      <c r="C579" s="1"/>
      <c r="D579" s="1"/>
      <c r="E579" s="1"/>
      <c r="J579" s="111"/>
      <c r="M579" s="111"/>
      <c r="P579" s="111"/>
      <c r="S579" s="111"/>
    </row>
    <row r="580" ht="12.75" customHeight="1">
      <c r="C580" s="1"/>
      <c r="D580" s="1"/>
      <c r="E580" s="1"/>
      <c r="J580" s="111"/>
      <c r="M580" s="111"/>
      <c r="P580" s="111"/>
      <c r="S580" s="111"/>
    </row>
    <row r="581" ht="12.75" customHeight="1">
      <c r="C581" s="1"/>
      <c r="D581" s="1"/>
      <c r="E581" s="1"/>
      <c r="J581" s="111"/>
      <c r="M581" s="111"/>
      <c r="P581" s="111"/>
      <c r="S581" s="111"/>
    </row>
    <row r="582" ht="12.75" customHeight="1">
      <c r="C582" s="1"/>
      <c r="D582" s="1"/>
      <c r="E582" s="1"/>
      <c r="J582" s="111"/>
      <c r="M582" s="111"/>
      <c r="P582" s="111"/>
      <c r="S582" s="111"/>
    </row>
    <row r="583" ht="12.75" customHeight="1">
      <c r="C583" s="1"/>
      <c r="D583" s="1"/>
      <c r="E583" s="1"/>
      <c r="J583" s="111"/>
      <c r="M583" s="111"/>
      <c r="P583" s="111"/>
      <c r="S583" s="111"/>
    </row>
    <row r="584" ht="12.75" customHeight="1">
      <c r="C584" s="1"/>
      <c r="D584" s="1"/>
      <c r="E584" s="1"/>
      <c r="J584" s="111"/>
      <c r="M584" s="111"/>
      <c r="P584" s="111"/>
      <c r="S584" s="111"/>
    </row>
    <row r="585" ht="12.75" customHeight="1">
      <c r="C585" s="1"/>
      <c r="D585" s="1"/>
      <c r="E585" s="1"/>
      <c r="J585" s="111"/>
      <c r="M585" s="111"/>
      <c r="P585" s="111"/>
      <c r="S585" s="111"/>
    </row>
    <row r="586" ht="12.75" customHeight="1">
      <c r="C586" s="1"/>
      <c r="D586" s="1"/>
      <c r="E586" s="1"/>
      <c r="J586" s="111"/>
      <c r="M586" s="111"/>
      <c r="P586" s="111"/>
      <c r="S586" s="111"/>
    </row>
    <row r="587" ht="12.75" customHeight="1">
      <c r="C587" s="1"/>
      <c r="D587" s="1"/>
      <c r="E587" s="1"/>
      <c r="J587" s="111"/>
      <c r="M587" s="111"/>
      <c r="P587" s="111"/>
      <c r="S587" s="111"/>
    </row>
    <row r="588" ht="12.75" customHeight="1">
      <c r="C588" s="1"/>
      <c r="D588" s="1"/>
      <c r="E588" s="1"/>
      <c r="J588" s="111"/>
      <c r="M588" s="111"/>
      <c r="P588" s="111"/>
      <c r="S588" s="111"/>
    </row>
    <row r="589" ht="12.75" customHeight="1">
      <c r="C589" s="1"/>
      <c r="D589" s="1"/>
      <c r="E589" s="1"/>
      <c r="J589" s="111"/>
      <c r="M589" s="111"/>
      <c r="P589" s="111"/>
      <c r="S589" s="111"/>
    </row>
    <row r="590" ht="12.75" customHeight="1">
      <c r="C590" s="1"/>
      <c r="D590" s="1"/>
      <c r="E590" s="1"/>
      <c r="J590" s="111"/>
      <c r="M590" s="111"/>
      <c r="P590" s="111"/>
      <c r="S590" s="111"/>
    </row>
    <row r="591" ht="12.75" customHeight="1">
      <c r="C591" s="1"/>
      <c r="D591" s="1"/>
      <c r="E591" s="1"/>
      <c r="J591" s="111"/>
      <c r="M591" s="111"/>
      <c r="P591" s="111"/>
      <c r="S591" s="111"/>
    </row>
    <row r="592" ht="12.75" customHeight="1">
      <c r="C592" s="1"/>
      <c r="D592" s="1"/>
      <c r="E592" s="1"/>
      <c r="J592" s="111"/>
      <c r="M592" s="111"/>
      <c r="P592" s="111"/>
      <c r="S592" s="111"/>
    </row>
    <row r="593" ht="12.75" customHeight="1">
      <c r="C593" s="1"/>
      <c r="D593" s="1"/>
      <c r="E593" s="1"/>
      <c r="J593" s="111"/>
      <c r="M593" s="111"/>
      <c r="P593" s="111"/>
      <c r="S593" s="111"/>
    </row>
    <row r="594" ht="12.75" customHeight="1">
      <c r="C594" s="1"/>
      <c r="D594" s="1"/>
      <c r="E594" s="1"/>
      <c r="J594" s="111"/>
      <c r="M594" s="111"/>
      <c r="P594" s="111"/>
      <c r="S594" s="111"/>
    </row>
    <row r="595" ht="12.75" customHeight="1">
      <c r="C595" s="1"/>
      <c r="D595" s="1"/>
      <c r="E595" s="1"/>
      <c r="J595" s="111"/>
      <c r="M595" s="111"/>
      <c r="P595" s="111"/>
      <c r="S595" s="111"/>
    </row>
    <row r="596" ht="12.75" customHeight="1">
      <c r="C596" s="1"/>
      <c r="D596" s="1"/>
      <c r="E596" s="1"/>
      <c r="J596" s="111"/>
      <c r="M596" s="111"/>
      <c r="P596" s="111"/>
      <c r="S596" s="111"/>
    </row>
    <row r="597" ht="12.75" customHeight="1">
      <c r="C597" s="1"/>
      <c r="D597" s="1"/>
      <c r="E597" s="1"/>
      <c r="J597" s="111"/>
      <c r="M597" s="111"/>
      <c r="P597" s="111"/>
      <c r="S597" s="111"/>
    </row>
    <row r="598" ht="12.75" customHeight="1">
      <c r="C598" s="1"/>
      <c r="D598" s="1"/>
      <c r="E598" s="1"/>
      <c r="J598" s="111"/>
      <c r="M598" s="111"/>
      <c r="P598" s="111"/>
      <c r="S598" s="111"/>
    </row>
    <row r="599" ht="12.75" customHeight="1">
      <c r="C599" s="1"/>
      <c r="D599" s="1"/>
      <c r="E599" s="1"/>
      <c r="J599" s="111"/>
      <c r="M599" s="111"/>
      <c r="P599" s="111"/>
      <c r="S599" s="111"/>
    </row>
    <row r="600" ht="12.75" customHeight="1">
      <c r="C600" s="1"/>
      <c r="D600" s="1"/>
      <c r="E600" s="1"/>
      <c r="J600" s="111"/>
      <c r="M600" s="111"/>
      <c r="P600" s="111"/>
      <c r="S600" s="111"/>
    </row>
    <row r="601" ht="12.75" customHeight="1">
      <c r="C601" s="1"/>
      <c r="D601" s="1"/>
      <c r="E601" s="1"/>
      <c r="J601" s="111"/>
      <c r="M601" s="111"/>
      <c r="P601" s="111"/>
      <c r="S601" s="111"/>
    </row>
    <row r="602" ht="12.75" customHeight="1">
      <c r="C602" s="1"/>
      <c r="D602" s="1"/>
      <c r="E602" s="1"/>
      <c r="J602" s="111"/>
      <c r="M602" s="111"/>
      <c r="P602" s="111"/>
      <c r="S602" s="111"/>
    </row>
    <row r="603" ht="12.75" customHeight="1">
      <c r="C603" s="1"/>
      <c r="D603" s="1"/>
      <c r="E603" s="1"/>
      <c r="J603" s="111"/>
      <c r="M603" s="111"/>
      <c r="P603" s="111"/>
      <c r="S603" s="111"/>
    </row>
    <row r="604" ht="12.75" customHeight="1">
      <c r="C604" s="1"/>
      <c r="D604" s="1"/>
      <c r="E604" s="1"/>
      <c r="J604" s="111"/>
      <c r="M604" s="111"/>
      <c r="P604" s="111"/>
      <c r="S604" s="111"/>
    </row>
    <row r="605" ht="12.75" customHeight="1">
      <c r="C605" s="1"/>
      <c r="D605" s="1"/>
      <c r="E605" s="1"/>
      <c r="J605" s="111"/>
      <c r="M605" s="111"/>
      <c r="P605" s="111"/>
      <c r="S605" s="111"/>
    </row>
    <row r="606" ht="12.75" customHeight="1">
      <c r="C606" s="1"/>
      <c r="D606" s="1"/>
      <c r="E606" s="1"/>
      <c r="J606" s="111"/>
      <c r="M606" s="111"/>
      <c r="P606" s="111"/>
      <c r="S606" s="111"/>
    </row>
    <row r="607" ht="12.75" customHeight="1">
      <c r="C607" s="1"/>
      <c r="D607" s="1"/>
      <c r="E607" s="1"/>
      <c r="J607" s="111"/>
      <c r="M607" s="111"/>
      <c r="P607" s="111"/>
      <c r="S607" s="111"/>
    </row>
    <row r="608" ht="12.75" customHeight="1">
      <c r="C608" s="1"/>
      <c r="D608" s="1"/>
      <c r="E608" s="1"/>
      <c r="J608" s="111"/>
      <c r="M608" s="111"/>
      <c r="P608" s="111"/>
      <c r="S608" s="111"/>
    </row>
    <row r="609" ht="12.75" customHeight="1">
      <c r="C609" s="1"/>
      <c r="D609" s="1"/>
      <c r="E609" s="1"/>
      <c r="J609" s="111"/>
      <c r="M609" s="111"/>
      <c r="P609" s="111"/>
      <c r="S609" s="111"/>
    </row>
    <row r="610" ht="12.75" customHeight="1">
      <c r="C610" s="1"/>
      <c r="D610" s="1"/>
      <c r="E610" s="1"/>
      <c r="J610" s="111"/>
      <c r="M610" s="111"/>
      <c r="P610" s="111"/>
      <c r="S610" s="111"/>
    </row>
    <row r="611" ht="12.75" customHeight="1">
      <c r="C611" s="1"/>
      <c r="D611" s="1"/>
      <c r="E611" s="1"/>
      <c r="J611" s="111"/>
      <c r="M611" s="111"/>
      <c r="P611" s="111"/>
      <c r="S611" s="111"/>
    </row>
    <row r="612" ht="12.75" customHeight="1">
      <c r="C612" s="1"/>
      <c r="D612" s="1"/>
      <c r="E612" s="1"/>
      <c r="J612" s="111"/>
      <c r="M612" s="111"/>
      <c r="P612" s="111"/>
      <c r="S612" s="111"/>
    </row>
    <row r="613" ht="12.75" customHeight="1">
      <c r="C613" s="1"/>
      <c r="D613" s="1"/>
      <c r="E613" s="1"/>
      <c r="J613" s="111"/>
      <c r="M613" s="111"/>
      <c r="P613" s="111"/>
      <c r="S613" s="111"/>
    </row>
    <row r="614" ht="12.75" customHeight="1">
      <c r="C614" s="1"/>
      <c r="D614" s="1"/>
      <c r="E614" s="1"/>
      <c r="J614" s="111"/>
      <c r="M614" s="111"/>
      <c r="P614" s="111"/>
      <c r="S614" s="111"/>
    </row>
    <row r="615" ht="12.75" customHeight="1">
      <c r="C615" s="1"/>
      <c r="D615" s="1"/>
      <c r="E615" s="1"/>
      <c r="J615" s="111"/>
      <c r="M615" s="111"/>
      <c r="P615" s="111"/>
      <c r="S615" s="111"/>
    </row>
    <row r="616" ht="12.75" customHeight="1">
      <c r="C616" s="1"/>
      <c r="D616" s="1"/>
      <c r="E616" s="1"/>
      <c r="J616" s="111"/>
      <c r="M616" s="111"/>
      <c r="P616" s="111"/>
      <c r="S616" s="111"/>
    </row>
    <row r="617" ht="12.75" customHeight="1">
      <c r="C617" s="1"/>
      <c r="D617" s="1"/>
      <c r="E617" s="1"/>
      <c r="J617" s="111"/>
      <c r="M617" s="111"/>
      <c r="P617" s="111"/>
      <c r="S617" s="111"/>
    </row>
    <row r="618" ht="12.75" customHeight="1">
      <c r="C618" s="1"/>
      <c r="D618" s="1"/>
      <c r="E618" s="1"/>
      <c r="J618" s="111"/>
      <c r="M618" s="111"/>
      <c r="P618" s="111"/>
      <c r="S618" s="111"/>
    </row>
    <row r="619" ht="12.75" customHeight="1">
      <c r="C619" s="1"/>
      <c r="D619" s="1"/>
      <c r="E619" s="1"/>
      <c r="J619" s="111"/>
      <c r="M619" s="111"/>
      <c r="P619" s="111"/>
      <c r="S619" s="111"/>
    </row>
    <row r="620" ht="12.75" customHeight="1">
      <c r="C620" s="1"/>
      <c r="D620" s="1"/>
      <c r="E620" s="1"/>
      <c r="J620" s="111"/>
      <c r="M620" s="111"/>
      <c r="P620" s="111"/>
      <c r="S620" s="111"/>
    </row>
    <row r="621" ht="12.75" customHeight="1">
      <c r="C621" s="1"/>
      <c r="D621" s="1"/>
      <c r="E621" s="1"/>
      <c r="J621" s="111"/>
      <c r="M621" s="111"/>
      <c r="P621" s="111"/>
      <c r="S621" s="111"/>
    </row>
    <row r="622" ht="12.75" customHeight="1">
      <c r="C622" s="1"/>
      <c r="D622" s="1"/>
      <c r="E622" s="1"/>
      <c r="J622" s="111"/>
      <c r="M622" s="111"/>
      <c r="P622" s="111"/>
      <c r="S622" s="111"/>
    </row>
    <row r="623" ht="12.75" customHeight="1">
      <c r="C623" s="1"/>
      <c r="D623" s="1"/>
      <c r="E623" s="1"/>
      <c r="J623" s="111"/>
      <c r="M623" s="111"/>
      <c r="P623" s="111"/>
      <c r="S623" s="111"/>
    </row>
    <row r="624" ht="12.75" customHeight="1">
      <c r="C624" s="1"/>
      <c r="D624" s="1"/>
      <c r="E624" s="1"/>
      <c r="J624" s="111"/>
      <c r="M624" s="111"/>
      <c r="P624" s="111"/>
      <c r="S624" s="111"/>
    </row>
    <row r="625" ht="12.75" customHeight="1">
      <c r="C625" s="1"/>
      <c r="D625" s="1"/>
      <c r="E625" s="1"/>
      <c r="J625" s="111"/>
      <c r="M625" s="111"/>
      <c r="P625" s="111"/>
      <c r="S625" s="111"/>
    </row>
    <row r="626" ht="12.75" customHeight="1">
      <c r="C626" s="1"/>
      <c r="D626" s="1"/>
      <c r="E626" s="1"/>
      <c r="J626" s="111"/>
      <c r="M626" s="111"/>
      <c r="P626" s="111"/>
      <c r="S626" s="111"/>
    </row>
    <row r="627" ht="12.75" customHeight="1">
      <c r="C627" s="1"/>
      <c r="D627" s="1"/>
      <c r="E627" s="1"/>
      <c r="J627" s="111"/>
      <c r="M627" s="111"/>
      <c r="P627" s="111"/>
      <c r="S627" s="111"/>
    </row>
    <row r="628" ht="12.75" customHeight="1">
      <c r="C628" s="1"/>
      <c r="D628" s="1"/>
      <c r="E628" s="1"/>
      <c r="J628" s="111"/>
      <c r="M628" s="111"/>
      <c r="P628" s="111"/>
      <c r="S628" s="111"/>
    </row>
    <row r="629" ht="12.75" customHeight="1">
      <c r="C629" s="1"/>
      <c r="D629" s="1"/>
      <c r="E629" s="1"/>
      <c r="J629" s="111"/>
      <c r="M629" s="111"/>
      <c r="P629" s="111"/>
      <c r="S629" s="111"/>
    </row>
    <row r="630" ht="12.75" customHeight="1">
      <c r="C630" s="1"/>
      <c r="D630" s="1"/>
      <c r="E630" s="1"/>
      <c r="J630" s="111"/>
      <c r="M630" s="111"/>
      <c r="P630" s="111"/>
      <c r="S630" s="111"/>
    </row>
    <row r="631" ht="12.75" customHeight="1">
      <c r="C631" s="1"/>
      <c r="D631" s="1"/>
      <c r="E631" s="1"/>
      <c r="J631" s="111"/>
      <c r="M631" s="111"/>
      <c r="P631" s="111"/>
      <c r="S631" s="111"/>
    </row>
    <row r="632" ht="12.75" customHeight="1">
      <c r="C632" s="1"/>
      <c r="D632" s="1"/>
      <c r="E632" s="1"/>
      <c r="J632" s="111"/>
      <c r="M632" s="111"/>
      <c r="P632" s="111"/>
      <c r="S632" s="111"/>
    </row>
    <row r="633" ht="12.75" customHeight="1">
      <c r="C633" s="1"/>
      <c r="D633" s="1"/>
      <c r="E633" s="1"/>
      <c r="J633" s="111"/>
      <c r="M633" s="111"/>
      <c r="P633" s="111"/>
      <c r="S633" s="111"/>
    </row>
    <row r="634" ht="12.75" customHeight="1">
      <c r="C634" s="1"/>
      <c r="D634" s="1"/>
      <c r="E634" s="1"/>
      <c r="J634" s="111"/>
      <c r="M634" s="111"/>
      <c r="P634" s="111"/>
      <c r="S634" s="111"/>
    </row>
    <row r="635" ht="12.75" customHeight="1">
      <c r="C635" s="1"/>
      <c r="D635" s="1"/>
      <c r="E635" s="1"/>
      <c r="J635" s="111"/>
      <c r="M635" s="111"/>
      <c r="P635" s="111"/>
      <c r="S635" s="111"/>
    </row>
    <row r="636" ht="12.75" customHeight="1">
      <c r="C636" s="1"/>
      <c r="D636" s="1"/>
      <c r="E636" s="1"/>
      <c r="J636" s="111"/>
      <c r="M636" s="111"/>
      <c r="P636" s="111"/>
      <c r="S636" s="111"/>
    </row>
    <row r="637" ht="12.75" customHeight="1">
      <c r="C637" s="1"/>
      <c r="D637" s="1"/>
      <c r="E637" s="1"/>
      <c r="J637" s="111"/>
      <c r="M637" s="111"/>
      <c r="P637" s="111"/>
      <c r="S637" s="111"/>
    </row>
    <row r="638" ht="12.75" customHeight="1">
      <c r="C638" s="1"/>
      <c r="D638" s="1"/>
      <c r="E638" s="1"/>
      <c r="J638" s="111"/>
      <c r="M638" s="111"/>
      <c r="P638" s="111"/>
      <c r="S638" s="111"/>
    </row>
    <row r="639" ht="12.75" customHeight="1">
      <c r="C639" s="1"/>
      <c r="D639" s="1"/>
      <c r="E639" s="1"/>
      <c r="J639" s="111"/>
      <c r="M639" s="111"/>
      <c r="P639" s="111"/>
      <c r="S639" s="111"/>
    </row>
    <row r="640" ht="12.75" customHeight="1">
      <c r="C640" s="1"/>
      <c r="D640" s="1"/>
      <c r="E640" s="1"/>
      <c r="J640" s="111"/>
      <c r="M640" s="111"/>
      <c r="P640" s="111"/>
      <c r="S640" s="111"/>
    </row>
    <row r="641" ht="12.75" customHeight="1">
      <c r="C641" s="1"/>
      <c r="D641" s="1"/>
      <c r="E641" s="1"/>
      <c r="J641" s="111"/>
      <c r="M641" s="111"/>
      <c r="P641" s="111"/>
      <c r="S641" s="111"/>
    </row>
    <row r="642" ht="12.75" customHeight="1">
      <c r="C642" s="1"/>
      <c r="D642" s="1"/>
      <c r="E642" s="1"/>
      <c r="J642" s="111"/>
      <c r="M642" s="111"/>
      <c r="P642" s="111"/>
      <c r="S642" s="111"/>
    </row>
    <row r="643" ht="12.75" customHeight="1">
      <c r="C643" s="1"/>
      <c r="D643" s="1"/>
      <c r="E643" s="1"/>
      <c r="J643" s="111"/>
      <c r="M643" s="111"/>
      <c r="P643" s="111"/>
      <c r="S643" s="111"/>
    </row>
    <row r="644" ht="12.75" customHeight="1">
      <c r="C644" s="1"/>
      <c r="D644" s="1"/>
      <c r="E644" s="1"/>
      <c r="J644" s="111"/>
      <c r="M644" s="111"/>
      <c r="P644" s="111"/>
      <c r="S644" s="111"/>
    </row>
    <row r="645" ht="12.75" customHeight="1">
      <c r="C645" s="1"/>
      <c r="D645" s="1"/>
      <c r="E645" s="1"/>
      <c r="J645" s="111"/>
      <c r="M645" s="111"/>
      <c r="P645" s="111"/>
      <c r="S645" s="111"/>
    </row>
    <row r="646" ht="12.75" customHeight="1">
      <c r="C646" s="1"/>
      <c r="D646" s="1"/>
      <c r="E646" s="1"/>
      <c r="J646" s="111"/>
      <c r="M646" s="111"/>
      <c r="P646" s="111"/>
      <c r="S646" s="111"/>
    </row>
    <row r="647" ht="12.75" customHeight="1">
      <c r="C647" s="1"/>
      <c r="D647" s="1"/>
      <c r="E647" s="1"/>
      <c r="J647" s="111"/>
      <c r="M647" s="111"/>
      <c r="P647" s="111"/>
      <c r="S647" s="111"/>
    </row>
    <row r="648" ht="12.75" customHeight="1">
      <c r="C648" s="1"/>
      <c r="D648" s="1"/>
      <c r="E648" s="1"/>
      <c r="J648" s="111"/>
      <c r="M648" s="111"/>
      <c r="P648" s="111"/>
      <c r="S648" s="111"/>
    </row>
    <row r="649" ht="12.75" customHeight="1">
      <c r="C649" s="1"/>
      <c r="D649" s="1"/>
      <c r="E649" s="1"/>
      <c r="J649" s="111"/>
      <c r="M649" s="111"/>
      <c r="P649" s="111"/>
      <c r="S649" s="111"/>
    </row>
    <row r="650" ht="12.75" customHeight="1">
      <c r="C650" s="1"/>
      <c r="D650" s="1"/>
      <c r="E650" s="1"/>
      <c r="J650" s="111"/>
      <c r="M650" s="111"/>
      <c r="P650" s="111"/>
      <c r="S650" s="111"/>
    </row>
    <row r="651" ht="12.75" customHeight="1">
      <c r="C651" s="1"/>
      <c r="D651" s="1"/>
      <c r="E651" s="1"/>
      <c r="J651" s="111"/>
      <c r="M651" s="111"/>
      <c r="P651" s="111"/>
      <c r="S651" s="111"/>
    </row>
    <row r="652" ht="12.75" customHeight="1">
      <c r="C652" s="1"/>
      <c r="D652" s="1"/>
      <c r="E652" s="1"/>
      <c r="J652" s="111"/>
      <c r="M652" s="111"/>
      <c r="P652" s="111"/>
      <c r="S652" s="111"/>
    </row>
    <row r="653" ht="12.75" customHeight="1">
      <c r="C653" s="1"/>
      <c r="D653" s="1"/>
      <c r="E653" s="1"/>
      <c r="J653" s="111"/>
      <c r="M653" s="111"/>
      <c r="P653" s="111"/>
      <c r="S653" s="111"/>
    </row>
    <row r="654" ht="12.75" customHeight="1">
      <c r="C654" s="1"/>
      <c r="D654" s="1"/>
      <c r="E654" s="1"/>
      <c r="J654" s="111"/>
      <c r="M654" s="111"/>
      <c r="P654" s="111"/>
      <c r="S654" s="111"/>
    </row>
    <row r="655" ht="12.75" customHeight="1">
      <c r="C655" s="1"/>
      <c r="D655" s="1"/>
      <c r="E655" s="1"/>
      <c r="J655" s="111"/>
      <c r="M655" s="111"/>
      <c r="P655" s="111"/>
      <c r="S655" s="111"/>
    </row>
    <row r="656" ht="12.75" customHeight="1">
      <c r="C656" s="1"/>
      <c r="D656" s="1"/>
      <c r="E656" s="1"/>
      <c r="J656" s="111"/>
      <c r="M656" s="111"/>
      <c r="P656" s="111"/>
      <c r="S656" s="111"/>
    </row>
    <row r="657" ht="12.75" customHeight="1">
      <c r="C657" s="1"/>
      <c r="D657" s="1"/>
      <c r="E657" s="1"/>
      <c r="J657" s="111"/>
      <c r="M657" s="111"/>
      <c r="P657" s="111"/>
      <c r="S657" s="111"/>
    </row>
    <row r="658" ht="12.75" customHeight="1">
      <c r="C658" s="1"/>
      <c r="D658" s="1"/>
      <c r="E658" s="1"/>
      <c r="J658" s="111"/>
      <c r="M658" s="111"/>
      <c r="P658" s="111"/>
      <c r="S658" s="111"/>
    </row>
    <row r="659" ht="12.75" customHeight="1">
      <c r="C659" s="1"/>
      <c r="D659" s="1"/>
      <c r="E659" s="1"/>
      <c r="J659" s="111"/>
      <c r="M659" s="111"/>
      <c r="P659" s="111"/>
      <c r="S659" s="111"/>
    </row>
    <row r="660" ht="12.75" customHeight="1">
      <c r="C660" s="1"/>
      <c r="D660" s="1"/>
      <c r="E660" s="1"/>
      <c r="J660" s="111"/>
      <c r="M660" s="111"/>
      <c r="P660" s="111"/>
      <c r="S660" s="111"/>
    </row>
    <row r="661" ht="12.75" customHeight="1">
      <c r="C661" s="1"/>
      <c r="D661" s="1"/>
      <c r="E661" s="1"/>
      <c r="J661" s="111"/>
      <c r="M661" s="111"/>
      <c r="P661" s="111"/>
      <c r="S661" s="111"/>
    </row>
    <row r="662" ht="12.75" customHeight="1">
      <c r="C662" s="1"/>
      <c r="D662" s="1"/>
      <c r="E662" s="1"/>
      <c r="J662" s="111"/>
      <c r="M662" s="111"/>
      <c r="P662" s="111"/>
      <c r="S662" s="111"/>
    </row>
    <row r="663" ht="12.75" customHeight="1">
      <c r="C663" s="1"/>
      <c r="D663" s="1"/>
      <c r="E663" s="1"/>
      <c r="J663" s="111"/>
      <c r="M663" s="111"/>
      <c r="P663" s="111"/>
      <c r="S663" s="111"/>
    </row>
    <row r="664" ht="12.75" customHeight="1">
      <c r="C664" s="1"/>
      <c r="D664" s="1"/>
      <c r="E664" s="1"/>
      <c r="J664" s="111"/>
      <c r="M664" s="111"/>
      <c r="P664" s="111"/>
      <c r="S664" s="111"/>
    </row>
    <row r="665" ht="12.75" customHeight="1">
      <c r="C665" s="1"/>
      <c r="D665" s="1"/>
      <c r="E665" s="1"/>
      <c r="J665" s="111"/>
      <c r="M665" s="111"/>
      <c r="P665" s="111"/>
      <c r="S665" s="111"/>
    </row>
    <row r="666" ht="12.75" customHeight="1">
      <c r="C666" s="1"/>
      <c r="D666" s="1"/>
      <c r="E666" s="1"/>
      <c r="J666" s="111"/>
      <c r="M666" s="111"/>
      <c r="P666" s="111"/>
      <c r="S666" s="111"/>
    </row>
    <row r="667" ht="12.75" customHeight="1">
      <c r="C667" s="1"/>
      <c r="D667" s="1"/>
      <c r="E667" s="1"/>
      <c r="J667" s="111"/>
      <c r="M667" s="111"/>
      <c r="P667" s="111"/>
      <c r="S667" s="111"/>
    </row>
    <row r="668" ht="12.75" customHeight="1">
      <c r="C668" s="1"/>
      <c r="D668" s="1"/>
      <c r="E668" s="1"/>
      <c r="J668" s="111"/>
      <c r="M668" s="111"/>
      <c r="P668" s="111"/>
      <c r="S668" s="111"/>
    </row>
    <row r="669" ht="12.75" customHeight="1">
      <c r="C669" s="1"/>
      <c r="D669" s="1"/>
      <c r="E669" s="1"/>
      <c r="J669" s="111"/>
      <c r="M669" s="111"/>
      <c r="P669" s="111"/>
      <c r="S669" s="111"/>
    </row>
    <row r="670" ht="12.75" customHeight="1">
      <c r="C670" s="1"/>
      <c r="D670" s="1"/>
      <c r="E670" s="1"/>
      <c r="J670" s="111"/>
      <c r="M670" s="111"/>
      <c r="P670" s="111"/>
      <c r="S670" s="111"/>
    </row>
    <row r="671" ht="12.75" customHeight="1">
      <c r="C671" s="1"/>
      <c r="D671" s="1"/>
      <c r="E671" s="1"/>
      <c r="J671" s="111"/>
      <c r="M671" s="111"/>
      <c r="P671" s="111"/>
      <c r="S671" s="111"/>
    </row>
    <row r="672" ht="12.75" customHeight="1">
      <c r="C672" s="1"/>
      <c r="D672" s="1"/>
      <c r="E672" s="1"/>
      <c r="J672" s="111"/>
      <c r="M672" s="111"/>
      <c r="P672" s="111"/>
      <c r="S672" s="111"/>
    </row>
    <row r="673" ht="12.75" customHeight="1">
      <c r="C673" s="1"/>
      <c r="D673" s="1"/>
      <c r="E673" s="1"/>
      <c r="J673" s="111"/>
      <c r="M673" s="111"/>
      <c r="P673" s="111"/>
      <c r="S673" s="111"/>
    </row>
    <row r="674" ht="12.75" customHeight="1">
      <c r="C674" s="1"/>
      <c r="D674" s="1"/>
      <c r="E674" s="1"/>
      <c r="J674" s="111"/>
      <c r="M674" s="111"/>
      <c r="P674" s="111"/>
      <c r="S674" s="111"/>
    </row>
    <row r="675" ht="12.75" customHeight="1">
      <c r="C675" s="1"/>
      <c r="D675" s="1"/>
      <c r="E675" s="1"/>
      <c r="J675" s="111"/>
      <c r="M675" s="111"/>
      <c r="P675" s="111"/>
      <c r="S675" s="111"/>
    </row>
    <row r="676" ht="12.75" customHeight="1">
      <c r="C676" s="1"/>
      <c r="D676" s="1"/>
      <c r="E676" s="1"/>
      <c r="J676" s="111"/>
      <c r="M676" s="111"/>
      <c r="P676" s="111"/>
      <c r="S676" s="111"/>
    </row>
    <row r="677" ht="12.75" customHeight="1">
      <c r="C677" s="1"/>
      <c r="D677" s="1"/>
      <c r="E677" s="1"/>
      <c r="J677" s="111"/>
      <c r="M677" s="111"/>
      <c r="P677" s="111"/>
      <c r="S677" s="111"/>
    </row>
    <row r="678" ht="12.75" customHeight="1">
      <c r="C678" s="1"/>
      <c r="D678" s="1"/>
      <c r="E678" s="1"/>
      <c r="J678" s="111"/>
      <c r="M678" s="111"/>
      <c r="P678" s="111"/>
      <c r="S678" s="111"/>
    </row>
    <row r="679" ht="12.75" customHeight="1">
      <c r="C679" s="1"/>
      <c r="D679" s="1"/>
      <c r="E679" s="1"/>
      <c r="J679" s="111"/>
      <c r="M679" s="111"/>
      <c r="P679" s="111"/>
      <c r="S679" s="111"/>
    </row>
    <row r="680" ht="12.75" customHeight="1">
      <c r="C680" s="1"/>
      <c r="D680" s="1"/>
      <c r="E680" s="1"/>
      <c r="J680" s="111"/>
      <c r="M680" s="111"/>
      <c r="P680" s="111"/>
      <c r="S680" s="111"/>
    </row>
    <row r="681" ht="12.75" customHeight="1">
      <c r="C681" s="1"/>
      <c r="D681" s="1"/>
      <c r="E681" s="1"/>
      <c r="J681" s="111"/>
      <c r="M681" s="111"/>
      <c r="P681" s="111"/>
      <c r="S681" s="111"/>
    </row>
    <row r="682" ht="12.75" customHeight="1">
      <c r="C682" s="1"/>
      <c r="D682" s="1"/>
      <c r="E682" s="1"/>
      <c r="J682" s="111"/>
      <c r="M682" s="111"/>
      <c r="P682" s="111"/>
      <c r="S682" s="111"/>
    </row>
    <row r="683" ht="12.75" customHeight="1">
      <c r="C683" s="1"/>
      <c r="D683" s="1"/>
      <c r="E683" s="1"/>
      <c r="J683" s="111"/>
      <c r="M683" s="111"/>
      <c r="P683" s="111"/>
      <c r="S683" s="111"/>
    </row>
    <row r="684" ht="12.75" customHeight="1">
      <c r="C684" s="1"/>
      <c r="D684" s="1"/>
      <c r="E684" s="1"/>
      <c r="J684" s="111"/>
      <c r="M684" s="111"/>
      <c r="P684" s="111"/>
      <c r="S684" s="111"/>
    </row>
    <row r="685" ht="12.75" customHeight="1">
      <c r="C685" s="1"/>
      <c r="D685" s="1"/>
      <c r="E685" s="1"/>
      <c r="J685" s="111"/>
      <c r="M685" s="111"/>
      <c r="P685" s="111"/>
      <c r="S685" s="111"/>
    </row>
    <row r="686" ht="12.75" customHeight="1">
      <c r="C686" s="1"/>
      <c r="D686" s="1"/>
      <c r="E686" s="1"/>
      <c r="J686" s="111"/>
      <c r="M686" s="111"/>
      <c r="P686" s="111"/>
      <c r="S686" s="111"/>
    </row>
    <row r="687" ht="12.75" customHeight="1">
      <c r="C687" s="1"/>
      <c r="D687" s="1"/>
      <c r="E687" s="1"/>
      <c r="J687" s="111"/>
      <c r="M687" s="111"/>
      <c r="P687" s="111"/>
      <c r="S687" s="111"/>
    </row>
    <row r="688" ht="12.75" customHeight="1">
      <c r="C688" s="1"/>
      <c r="D688" s="1"/>
      <c r="E688" s="1"/>
      <c r="J688" s="111"/>
      <c r="M688" s="111"/>
      <c r="P688" s="111"/>
      <c r="S688" s="111"/>
    </row>
    <row r="689" ht="12.75" customHeight="1">
      <c r="C689" s="1"/>
      <c r="D689" s="1"/>
      <c r="E689" s="1"/>
      <c r="J689" s="111"/>
      <c r="M689" s="111"/>
      <c r="P689" s="111"/>
      <c r="S689" s="111"/>
    </row>
    <row r="690" ht="12.75" customHeight="1">
      <c r="C690" s="1"/>
      <c r="D690" s="1"/>
      <c r="E690" s="1"/>
      <c r="J690" s="111"/>
      <c r="M690" s="111"/>
      <c r="P690" s="111"/>
      <c r="S690" s="111"/>
    </row>
    <row r="691" ht="12.75" customHeight="1">
      <c r="C691" s="1"/>
      <c r="D691" s="1"/>
      <c r="E691" s="1"/>
      <c r="J691" s="111"/>
      <c r="M691" s="111"/>
      <c r="P691" s="111"/>
      <c r="S691" s="111"/>
    </row>
    <row r="692" ht="12.75" customHeight="1">
      <c r="C692" s="1"/>
      <c r="D692" s="1"/>
      <c r="E692" s="1"/>
      <c r="J692" s="111"/>
      <c r="M692" s="111"/>
      <c r="P692" s="111"/>
      <c r="S692" s="111"/>
    </row>
    <row r="693" ht="12.75" customHeight="1">
      <c r="C693" s="1"/>
      <c r="D693" s="1"/>
      <c r="E693" s="1"/>
      <c r="J693" s="111"/>
      <c r="M693" s="111"/>
      <c r="P693" s="111"/>
      <c r="S693" s="111"/>
    </row>
    <row r="694" ht="12.75" customHeight="1">
      <c r="C694" s="1"/>
      <c r="D694" s="1"/>
      <c r="E694" s="1"/>
      <c r="J694" s="111"/>
      <c r="M694" s="111"/>
      <c r="P694" s="111"/>
      <c r="S694" s="111"/>
    </row>
    <row r="695" ht="12.75" customHeight="1">
      <c r="C695" s="1"/>
      <c r="D695" s="1"/>
      <c r="E695" s="1"/>
      <c r="J695" s="111"/>
      <c r="M695" s="111"/>
      <c r="P695" s="111"/>
      <c r="S695" s="111"/>
    </row>
    <row r="696" ht="12.75" customHeight="1">
      <c r="C696" s="1"/>
      <c r="D696" s="1"/>
      <c r="E696" s="1"/>
      <c r="J696" s="111"/>
      <c r="M696" s="111"/>
      <c r="P696" s="111"/>
      <c r="S696" s="111"/>
    </row>
    <row r="697" ht="12.75" customHeight="1">
      <c r="C697" s="1"/>
      <c r="D697" s="1"/>
      <c r="E697" s="1"/>
      <c r="J697" s="111"/>
      <c r="M697" s="111"/>
      <c r="P697" s="111"/>
      <c r="S697" s="111"/>
    </row>
    <row r="698" ht="12.75" customHeight="1">
      <c r="C698" s="1"/>
      <c r="D698" s="1"/>
      <c r="E698" s="1"/>
      <c r="J698" s="111"/>
      <c r="M698" s="111"/>
      <c r="P698" s="111"/>
      <c r="S698" s="111"/>
    </row>
    <row r="699" ht="12.75" customHeight="1">
      <c r="C699" s="1"/>
      <c r="D699" s="1"/>
      <c r="E699" s="1"/>
      <c r="J699" s="111"/>
      <c r="M699" s="111"/>
      <c r="P699" s="111"/>
      <c r="S699" s="111"/>
    </row>
    <row r="700" ht="12.75" customHeight="1">
      <c r="C700" s="1"/>
      <c r="D700" s="1"/>
      <c r="E700" s="1"/>
      <c r="J700" s="111"/>
      <c r="M700" s="111"/>
      <c r="P700" s="111"/>
      <c r="S700" s="111"/>
    </row>
    <row r="701" ht="12.75" customHeight="1">
      <c r="C701" s="1"/>
      <c r="D701" s="1"/>
      <c r="E701" s="1"/>
      <c r="J701" s="111"/>
      <c r="M701" s="111"/>
      <c r="P701" s="111"/>
      <c r="S701" s="111"/>
    </row>
    <row r="702" ht="12.75" customHeight="1">
      <c r="C702" s="1"/>
      <c r="D702" s="1"/>
      <c r="E702" s="1"/>
      <c r="J702" s="111"/>
      <c r="M702" s="111"/>
      <c r="P702" s="111"/>
      <c r="S702" s="111"/>
    </row>
    <row r="703" ht="12.75" customHeight="1">
      <c r="C703" s="1"/>
      <c r="D703" s="1"/>
      <c r="E703" s="1"/>
      <c r="J703" s="111"/>
      <c r="M703" s="111"/>
      <c r="P703" s="111"/>
      <c r="S703" s="111"/>
    </row>
    <row r="704" ht="12.75" customHeight="1">
      <c r="C704" s="1"/>
      <c r="D704" s="1"/>
      <c r="E704" s="1"/>
      <c r="J704" s="111"/>
      <c r="M704" s="111"/>
      <c r="P704" s="111"/>
      <c r="S704" s="111"/>
    </row>
    <row r="705" ht="12.75" customHeight="1">
      <c r="C705" s="1"/>
      <c r="D705" s="1"/>
      <c r="E705" s="1"/>
      <c r="J705" s="111"/>
      <c r="M705" s="111"/>
      <c r="P705" s="111"/>
      <c r="S705" s="111"/>
    </row>
    <row r="706" ht="12.75" customHeight="1">
      <c r="C706" s="1"/>
      <c r="D706" s="1"/>
      <c r="E706" s="1"/>
      <c r="J706" s="111"/>
      <c r="M706" s="111"/>
      <c r="P706" s="111"/>
      <c r="S706" s="111"/>
    </row>
    <row r="707" ht="12.75" customHeight="1">
      <c r="C707" s="1"/>
      <c r="D707" s="1"/>
      <c r="E707" s="1"/>
      <c r="J707" s="111"/>
      <c r="M707" s="111"/>
      <c r="P707" s="111"/>
      <c r="S707" s="111"/>
    </row>
    <row r="708" ht="12.75" customHeight="1">
      <c r="C708" s="1"/>
      <c r="D708" s="1"/>
      <c r="E708" s="1"/>
      <c r="J708" s="111"/>
      <c r="M708" s="111"/>
      <c r="P708" s="111"/>
      <c r="S708" s="111"/>
    </row>
    <row r="709" ht="12.75" customHeight="1">
      <c r="C709" s="1"/>
      <c r="D709" s="1"/>
      <c r="E709" s="1"/>
      <c r="J709" s="111"/>
      <c r="M709" s="111"/>
      <c r="P709" s="111"/>
      <c r="S709" s="111"/>
    </row>
    <row r="710" ht="12.75" customHeight="1">
      <c r="C710" s="1"/>
      <c r="D710" s="1"/>
      <c r="E710" s="1"/>
      <c r="J710" s="111"/>
      <c r="M710" s="111"/>
      <c r="P710" s="111"/>
      <c r="S710" s="111"/>
    </row>
    <row r="711" ht="12.75" customHeight="1">
      <c r="C711" s="1"/>
      <c r="D711" s="1"/>
      <c r="E711" s="1"/>
      <c r="J711" s="111"/>
      <c r="M711" s="111"/>
      <c r="P711" s="111"/>
      <c r="S711" s="111"/>
    </row>
    <row r="712" ht="12.75" customHeight="1">
      <c r="C712" s="1"/>
      <c r="D712" s="1"/>
      <c r="E712" s="1"/>
      <c r="J712" s="111"/>
      <c r="M712" s="111"/>
      <c r="P712" s="111"/>
      <c r="S712" s="111"/>
    </row>
    <row r="713" ht="12.75" customHeight="1">
      <c r="C713" s="1"/>
      <c r="D713" s="1"/>
      <c r="E713" s="1"/>
      <c r="J713" s="111"/>
      <c r="M713" s="111"/>
      <c r="P713" s="111"/>
      <c r="S713" s="111"/>
    </row>
    <row r="714" ht="12.75" customHeight="1">
      <c r="C714" s="1"/>
      <c r="D714" s="1"/>
      <c r="E714" s="1"/>
      <c r="J714" s="111"/>
      <c r="M714" s="111"/>
      <c r="P714" s="111"/>
      <c r="S714" s="111"/>
    </row>
    <row r="715" ht="12.75" customHeight="1">
      <c r="C715" s="1"/>
      <c r="D715" s="1"/>
      <c r="E715" s="1"/>
      <c r="J715" s="111"/>
      <c r="M715" s="111"/>
      <c r="P715" s="111"/>
      <c r="S715" s="111"/>
    </row>
    <row r="716" ht="12.75" customHeight="1">
      <c r="C716" s="1"/>
      <c r="D716" s="1"/>
      <c r="E716" s="1"/>
      <c r="J716" s="111"/>
      <c r="M716" s="111"/>
      <c r="P716" s="111"/>
      <c r="S716" s="111"/>
    </row>
    <row r="717" ht="12.75" customHeight="1">
      <c r="C717" s="1"/>
      <c r="D717" s="1"/>
      <c r="E717" s="1"/>
      <c r="J717" s="111"/>
      <c r="M717" s="111"/>
      <c r="P717" s="111"/>
      <c r="S717" s="111"/>
    </row>
    <row r="718" ht="12.75" customHeight="1">
      <c r="C718" s="1"/>
      <c r="D718" s="1"/>
      <c r="E718" s="1"/>
      <c r="J718" s="111"/>
      <c r="M718" s="111"/>
      <c r="P718" s="111"/>
      <c r="S718" s="111"/>
    </row>
    <row r="719" ht="12.75" customHeight="1">
      <c r="C719" s="1"/>
      <c r="D719" s="1"/>
      <c r="E719" s="1"/>
      <c r="J719" s="111"/>
      <c r="M719" s="111"/>
      <c r="P719" s="111"/>
      <c r="S719" s="111"/>
    </row>
    <row r="720" ht="12.75" customHeight="1">
      <c r="C720" s="1"/>
      <c r="D720" s="1"/>
      <c r="E720" s="1"/>
      <c r="J720" s="111"/>
      <c r="M720" s="111"/>
      <c r="P720" s="111"/>
      <c r="S720" s="111"/>
    </row>
    <row r="721" ht="12.75" customHeight="1">
      <c r="C721" s="1"/>
      <c r="D721" s="1"/>
      <c r="E721" s="1"/>
      <c r="J721" s="111"/>
      <c r="M721" s="111"/>
      <c r="P721" s="111"/>
      <c r="S721" s="111"/>
    </row>
    <row r="722" ht="12.75" customHeight="1">
      <c r="C722" s="1"/>
      <c r="D722" s="1"/>
      <c r="E722" s="1"/>
      <c r="J722" s="111"/>
      <c r="M722" s="111"/>
      <c r="P722" s="111"/>
      <c r="S722" s="111"/>
    </row>
    <row r="723" ht="12.75" customHeight="1">
      <c r="C723" s="1"/>
      <c r="D723" s="1"/>
      <c r="E723" s="1"/>
      <c r="J723" s="111"/>
      <c r="M723" s="111"/>
      <c r="P723" s="111"/>
      <c r="S723" s="111"/>
    </row>
    <row r="724" ht="12.75" customHeight="1">
      <c r="C724" s="1"/>
      <c r="D724" s="1"/>
      <c r="E724" s="1"/>
      <c r="J724" s="111"/>
      <c r="M724" s="111"/>
      <c r="P724" s="111"/>
      <c r="S724" s="111"/>
    </row>
    <row r="725" ht="12.75" customHeight="1">
      <c r="C725" s="1"/>
      <c r="D725" s="1"/>
      <c r="E725" s="1"/>
      <c r="J725" s="111"/>
      <c r="M725" s="111"/>
      <c r="P725" s="111"/>
      <c r="S725" s="111"/>
    </row>
    <row r="726" ht="12.75" customHeight="1">
      <c r="C726" s="1"/>
      <c r="D726" s="1"/>
      <c r="E726" s="1"/>
      <c r="J726" s="111"/>
      <c r="M726" s="111"/>
      <c r="P726" s="111"/>
      <c r="S726" s="111"/>
    </row>
    <row r="727" ht="12.75" customHeight="1">
      <c r="C727" s="1"/>
      <c r="D727" s="1"/>
      <c r="E727" s="1"/>
      <c r="J727" s="111"/>
      <c r="M727" s="111"/>
      <c r="P727" s="111"/>
      <c r="S727" s="111"/>
    </row>
    <row r="728" ht="12.75" customHeight="1">
      <c r="C728" s="1"/>
      <c r="D728" s="1"/>
      <c r="E728" s="1"/>
      <c r="J728" s="111"/>
      <c r="M728" s="111"/>
      <c r="P728" s="111"/>
      <c r="S728" s="111"/>
    </row>
    <row r="729" ht="12.75" customHeight="1">
      <c r="C729" s="1"/>
      <c r="D729" s="1"/>
      <c r="E729" s="1"/>
      <c r="J729" s="111"/>
      <c r="M729" s="111"/>
      <c r="P729" s="111"/>
      <c r="S729" s="111"/>
    </row>
    <row r="730" ht="12.75" customHeight="1">
      <c r="C730" s="1"/>
      <c r="D730" s="1"/>
      <c r="E730" s="1"/>
      <c r="J730" s="111"/>
      <c r="M730" s="111"/>
      <c r="P730" s="111"/>
      <c r="S730" s="111"/>
    </row>
    <row r="731" ht="12.75" customHeight="1">
      <c r="C731" s="1"/>
      <c r="D731" s="1"/>
      <c r="E731" s="1"/>
      <c r="J731" s="111"/>
      <c r="M731" s="111"/>
      <c r="P731" s="111"/>
      <c r="S731" s="111"/>
    </row>
    <row r="732" ht="12.75" customHeight="1">
      <c r="C732" s="1"/>
      <c r="D732" s="1"/>
      <c r="E732" s="1"/>
      <c r="J732" s="111"/>
      <c r="M732" s="111"/>
      <c r="P732" s="111"/>
      <c r="S732" s="111"/>
    </row>
    <row r="733" ht="12.75" customHeight="1">
      <c r="C733" s="1"/>
      <c r="D733" s="1"/>
      <c r="E733" s="1"/>
      <c r="J733" s="111"/>
      <c r="M733" s="111"/>
      <c r="P733" s="111"/>
      <c r="S733" s="111"/>
    </row>
    <row r="734" ht="12.75" customHeight="1">
      <c r="C734" s="1"/>
      <c r="D734" s="1"/>
      <c r="E734" s="1"/>
      <c r="J734" s="111"/>
      <c r="M734" s="111"/>
      <c r="P734" s="111"/>
      <c r="S734" s="111"/>
    </row>
    <row r="735" ht="12.75" customHeight="1">
      <c r="C735" s="1"/>
      <c r="D735" s="1"/>
      <c r="E735" s="1"/>
      <c r="J735" s="111"/>
      <c r="M735" s="111"/>
      <c r="P735" s="111"/>
      <c r="S735" s="111"/>
    </row>
    <row r="736" ht="12.75" customHeight="1">
      <c r="C736" s="1"/>
      <c r="D736" s="1"/>
      <c r="E736" s="1"/>
      <c r="J736" s="111"/>
      <c r="M736" s="111"/>
      <c r="P736" s="111"/>
      <c r="S736" s="111"/>
    </row>
    <row r="737" ht="12.75" customHeight="1">
      <c r="C737" s="1"/>
      <c r="D737" s="1"/>
      <c r="E737" s="1"/>
      <c r="J737" s="111"/>
      <c r="M737" s="111"/>
      <c r="P737" s="111"/>
      <c r="S737" s="111"/>
    </row>
    <row r="738" ht="12.75" customHeight="1">
      <c r="C738" s="1"/>
      <c r="D738" s="1"/>
      <c r="E738" s="1"/>
      <c r="J738" s="111"/>
      <c r="M738" s="111"/>
      <c r="P738" s="111"/>
      <c r="S738" s="111"/>
    </row>
    <row r="739" ht="12.75" customHeight="1">
      <c r="C739" s="1"/>
      <c r="D739" s="1"/>
      <c r="E739" s="1"/>
      <c r="J739" s="111"/>
      <c r="M739" s="111"/>
      <c r="P739" s="111"/>
      <c r="S739" s="111"/>
    </row>
    <row r="740" ht="12.75" customHeight="1">
      <c r="C740" s="1"/>
      <c r="D740" s="1"/>
      <c r="E740" s="1"/>
      <c r="J740" s="111"/>
      <c r="M740" s="111"/>
      <c r="P740" s="111"/>
      <c r="S740" s="111"/>
    </row>
    <row r="741" ht="12.75" customHeight="1">
      <c r="C741" s="1"/>
      <c r="D741" s="1"/>
      <c r="E741" s="1"/>
      <c r="J741" s="111"/>
      <c r="M741" s="111"/>
      <c r="P741" s="111"/>
      <c r="S741" s="111"/>
    </row>
    <row r="742" ht="12.75" customHeight="1">
      <c r="C742" s="1"/>
      <c r="D742" s="1"/>
      <c r="E742" s="1"/>
      <c r="J742" s="111"/>
      <c r="M742" s="111"/>
      <c r="P742" s="111"/>
      <c r="S742" s="111"/>
    </row>
    <row r="743" ht="12.75" customHeight="1">
      <c r="C743" s="1"/>
      <c r="D743" s="1"/>
      <c r="E743" s="1"/>
      <c r="J743" s="111"/>
      <c r="M743" s="111"/>
      <c r="P743" s="111"/>
      <c r="S743" s="111"/>
    </row>
    <row r="744" ht="12.75" customHeight="1">
      <c r="C744" s="1"/>
      <c r="D744" s="1"/>
      <c r="E744" s="1"/>
      <c r="J744" s="111"/>
      <c r="M744" s="111"/>
      <c r="P744" s="111"/>
      <c r="S744" s="111"/>
    </row>
    <row r="745" ht="12.75" customHeight="1">
      <c r="C745" s="1"/>
      <c r="D745" s="1"/>
      <c r="E745" s="1"/>
      <c r="J745" s="111"/>
      <c r="M745" s="111"/>
      <c r="P745" s="111"/>
      <c r="S745" s="111"/>
    </row>
    <row r="746" ht="12.75" customHeight="1">
      <c r="C746" s="1"/>
      <c r="D746" s="1"/>
      <c r="E746" s="1"/>
      <c r="J746" s="111"/>
      <c r="M746" s="111"/>
      <c r="P746" s="111"/>
      <c r="S746" s="111"/>
    </row>
    <row r="747" ht="12.75" customHeight="1">
      <c r="C747" s="1"/>
      <c r="D747" s="1"/>
      <c r="E747" s="1"/>
      <c r="J747" s="111"/>
      <c r="M747" s="111"/>
      <c r="P747" s="111"/>
      <c r="S747" s="111"/>
    </row>
    <row r="748" ht="12.75" customHeight="1">
      <c r="C748" s="1"/>
      <c r="D748" s="1"/>
      <c r="E748" s="1"/>
      <c r="J748" s="111"/>
      <c r="M748" s="111"/>
      <c r="P748" s="111"/>
      <c r="S748" s="111"/>
    </row>
    <row r="749" ht="12.75" customHeight="1">
      <c r="C749" s="1"/>
      <c r="D749" s="1"/>
      <c r="E749" s="1"/>
      <c r="J749" s="111"/>
      <c r="M749" s="111"/>
      <c r="P749" s="111"/>
      <c r="S749" s="111"/>
    </row>
    <row r="750" ht="12.75" customHeight="1">
      <c r="C750" s="1"/>
      <c r="D750" s="1"/>
      <c r="E750" s="1"/>
      <c r="J750" s="111"/>
      <c r="M750" s="111"/>
      <c r="P750" s="111"/>
      <c r="S750" s="111"/>
    </row>
    <row r="751" ht="12.75" customHeight="1">
      <c r="C751" s="1"/>
      <c r="D751" s="1"/>
      <c r="E751" s="1"/>
      <c r="J751" s="111"/>
      <c r="M751" s="111"/>
      <c r="P751" s="111"/>
      <c r="S751" s="111"/>
    </row>
    <row r="752" ht="12.75" customHeight="1">
      <c r="C752" s="1"/>
      <c r="D752" s="1"/>
      <c r="E752" s="1"/>
      <c r="J752" s="111"/>
      <c r="M752" s="111"/>
      <c r="P752" s="111"/>
      <c r="S752" s="111"/>
    </row>
    <row r="753" ht="12.75" customHeight="1">
      <c r="C753" s="1"/>
      <c r="D753" s="1"/>
      <c r="E753" s="1"/>
      <c r="J753" s="111"/>
      <c r="M753" s="111"/>
      <c r="P753" s="111"/>
      <c r="S753" s="111"/>
    </row>
    <row r="754" ht="12.75" customHeight="1">
      <c r="C754" s="1"/>
      <c r="D754" s="1"/>
      <c r="E754" s="1"/>
      <c r="J754" s="111"/>
      <c r="M754" s="111"/>
      <c r="P754" s="111"/>
      <c r="S754" s="111"/>
    </row>
    <row r="755" ht="12.75" customHeight="1">
      <c r="C755" s="1"/>
      <c r="D755" s="1"/>
      <c r="E755" s="1"/>
      <c r="J755" s="111"/>
      <c r="M755" s="111"/>
      <c r="P755" s="111"/>
      <c r="S755" s="111"/>
    </row>
    <row r="756" ht="12.75" customHeight="1">
      <c r="C756" s="1"/>
      <c r="D756" s="1"/>
      <c r="E756" s="1"/>
      <c r="J756" s="111"/>
      <c r="M756" s="111"/>
      <c r="P756" s="111"/>
      <c r="S756" s="111"/>
    </row>
    <row r="757" ht="12.75" customHeight="1">
      <c r="C757" s="1"/>
      <c r="D757" s="1"/>
      <c r="E757" s="1"/>
      <c r="J757" s="111"/>
      <c r="M757" s="111"/>
      <c r="P757" s="111"/>
      <c r="S757" s="111"/>
    </row>
    <row r="758" ht="12.75" customHeight="1">
      <c r="C758" s="1"/>
      <c r="D758" s="1"/>
      <c r="E758" s="1"/>
      <c r="J758" s="111"/>
      <c r="M758" s="111"/>
      <c r="P758" s="111"/>
      <c r="S758" s="111"/>
    </row>
    <row r="759" ht="12.75" customHeight="1">
      <c r="C759" s="1"/>
      <c r="D759" s="1"/>
      <c r="E759" s="1"/>
      <c r="J759" s="111"/>
      <c r="M759" s="111"/>
      <c r="P759" s="111"/>
      <c r="S759" s="111"/>
    </row>
    <row r="760" ht="12.75" customHeight="1">
      <c r="C760" s="1"/>
      <c r="D760" s="1"/>
      <c r="E760" s="1"/>
      <c r="J760" s="111"/>
      <c r="M760" s="111"/>
      <c r="P760" s="111"/>
      <c r="S760" s="111"/>
    </row>
    <row r="761" ht="12.75" customHeight="1">
      <c r="C761" s="1"/>
      <c r="D761" s="1"/>
      <c r="E761" s="1"/>
      <c r="J761" s="111"/>
      <c r="M761" s="111"/>
      <c r="P761" s="111"/>
      <c r="S761" s="111"/>
    </row>
    <row r="762" ht="12.75" customHeight="1">
      <c r="C762" s="1"/>
      <c r="D762" s="1"/>
      <c r="E762" s="1"/>
      <c r="J762" s="111"/>
      <c r="M762" s="111"/>
      <c r="P762" s="111"/>
      <c r="S762" s="111"/>
    </row>
    <row r="763" ht="12.75" customHeight="1">
      <c r="C763" s="1"/>
      <c r="D763" s="1"/>
      <c r="E763" s="1"/>
      <c r="J763" s="111"/>
      <c r="M763" s="111"/>
      <c r="P763" s="111"/>
      <c r="S763" s="111"/>
    </row>
    <row r="764" ht="12.75" customHeight="1">
      <c r="C764" s="1"/>
      <c r="D764" s="1"/>
      <c r="E764" s="1"/>
      <c r="J764" s="111"/>
      <c r="M764" s="111"/>
      <c r="P764" s="111"/>
      <c r="S764" s="111"/>
    </row>
    <row r="765" ht="12.75" customHeight="1">
      <c r="C765" s="1"/>
      <c r="D765" s="1"/>
      <c r="E765" s="1"/>
      <c r="J765" s="111"/>
      <c r="M765" s="111"/>
      <c r="P765" s="111"/>
      <c r="S765" s="111"/>
    </row>
    <row r="766" ht="12.75" customHeight="1">
      <c r="C766" s="1"/>
      <c r="D766" s="1"/>
      <c r="E766" s="1"/>
      <c r="J766" s="111"/>
      <c r="M766" s="111"/>
      <c r="P766" s="111"/>
      <c r="S766" s="111"/>
    </row>
    <row r="767" ht="12.75" customHeight="1">
      <c r="C767" s="1"/>
      <c r="D767" s="1"/>
      <c r="E767" s="1"/>
      <c r="J767" s="111"/>
      <c r="M767" s="111"/>
      <c r="P767" s="111"/>
      <c r="S767" s="111"/>
    </row>
    <row r="768" ht="12.75" customHeight="1">
      <c r="C768" s="1"/>
      <c r="D768" s="1"/>
      <c r="E768" s="1"/>
      <c r="J768" s="111"/>
      <c r="M768" s="111"/>
      <c r="P768" s="111"/>
      <c r="S768" s="111"/>
    </row>
    <row r="769" ht="12.75" customHeight="1">
      <c r="C769" s="1"/>
      <c r="D769" s="1"/>
      <c r="E769" s="1"/>
      <c r="J769" s="111"/>
      <c r="M769" s="111"/>
      <c r="P769" s="111"/>
      <c r="S769" s="111"/>
    </row>
    <row r="770" ht="12.75" customHeight="1">
      <c r="C770" s="1"/>
      <c r="D770" s="1"/>
      <c r="E770" s="1"/>
      <c r="J770" s="111"/>
      <c r="M770" s="111"/>
      <c r="P770" s="111"/>
      <c r="S770" s="111"/>
    </row>
    <row r="771" ht="12.75" customHeight="1">
      <c r="C771" s="1"/>
      <c r="D771" s="1"/>
      <c r="E771" s="1"/>
      <c r="J771" s="111"/>
      <c r="M771" s="111"/>
      <c r="P771" s="111"/>
      <c r="S771" s="111"/>
    </row>
    <row r="772" ht="12.75" customHeight="1">
      <c r="C772" s="1"/>
      <c r="D772" s="1"/>
      <c r="E772" s="1"/>
      <c r="J772" s="111"/>
      <c r="M772" s="111"/>
      <c r="P772" s="111"/>
      <c r="S772" s="111"/>
    </row>
    <row r="773" ht="12.75" customHeight="1">
      <c r="C773" s="1"/>
      <c r="D773" s="1"/>
      <c r="E773" s="1"/>
      <c r="J773" s="111"/>
      <c r="M773" s="111"/>
      <c r="P773" s="111"/>
      <c r="S773" s="111"/>
    </row>
    <row r="774" ht="12.75" customHeight="1">
      <c r="C774" s="1"/>
      <c r="D774" s="1"/>
      <c r="E774" s="1"/>
      <c r="J774" s="111"/>
      <c r="M774" s="111"/>
      <c r="P774" s="111"/>
      <c r="S774" s="111"/>
    </row>
    <row r="775" ht="12.75" customHeight="1">
      <c r="C775" s="1"/>
      <c r="D775" s="1"/>
      <c r="E775" s="1"/>
      <c r="J775" s="111"/>
      <c r="M775" s="111"/>
      <c r="P775" s="111"/>
      <c r="S775" s="111"/>
    </row>
    <row r="776" ht="12.75" customHeight="1">
      <c r="C776" s="1"/>
      <c r="D776" s="1"/>
      <c r="E776" s="1"/>
      <c r="J776" s="111"/>
      <c r="M776" s="111"/>
      <c r="P776" s="111"/>
      <c r="S776" s="111"/>
    </row>
    <row r="777" ht="12.75" customHeight="1">
      <c r="C777" s="1"/>
      <c r="D777" s="1"/>
      <c r="E777" s="1"/>
      <c r="J777" s="111"/>
      <c r="M777" s="111"/>
      <c r="P777" s="111"/>
      <c r="S777" s="111"/>
    </row>
    <row r="778" ht="12.75" customHeight="1">
      <c r="C778" s="1"/>
      <c r="D778" s="1"/>
      <c r="E778" s="1"/>
      <c r="J778" s="111"/>
      <c r="M778" s="111"/>
      <c r="P778" s="111"/>
      <c r="S778" s="111"/>
    </row>
    <row r="779" ht="12.75" customHeight="1">
      <c r="C779" s="1"/>
      <c r="D779" s="1"/>
      <c r="E779" s="1"/>
      <c r="J779" s="111"/>
      <c r="M779" s="111"/>
      <c r="P779" s="111"/>
      <c r="S779" s="111"/>
    </row>
    <row r="780" ht="12.75" customHeight="1">
      <c r="C780" s="1"/>
      <c r="D780" s="1"/>
      <c r="E780" s="1"/>
      <c r="J780" s="111"/>
      <c r="M780" s="111"/>
      <c r="P780" s="111"/>
      <c r="S780" s="111"/>
    </row>
    <row r="781" ht="12.75" customHeight="1">
      <c r="C781" s="1"/>
      <c r="D781" s="1"/>
      <c r="E781" s="1"/>
      <c r="J781" s="111"/>
      <c r="M781" s="111"/>
      <c r="P781" s="111"/>
      <c r="S781" s="111"/>
    </row>
    <row r="782" ht="12.75" customHeight="1">
      <c r="C782" s="1"/>
      <c r="D782" s="1"/>
      <c r="E782" s="1"/>
      <c r="J782" s="111"/>
      <c r="M782" s="111"/>
      <c r="P782" s="111"/>
      <c r="S782" s="111"/>
    </row>
    <row r="783" ht="12.75" customHeight="1">
      <c r="C783" s="1"/>
      <c r="D783" s="1"/>
      <c r="E783" s="1"/>
      <c r="J783" s="111"/>
      <c r="M783" s="111"/>
      <c r="P783" s="111"/>
      <c r="S783" s="111"/>
    </row>
    <row r="784" ht="12.75" customHeight="1">
      <c r="C784" s="1"/>
      <c r="D784" s="1"/>
      <c r="E784" s="1"/>
      <c r="J784" s="111"/>
      <c r="M784" s="111"/>
      <c r="P784" s="111"/>
      <c r="S784" s="111"/>
    </row>
    <row r="785" ht="12.75" customHeight="1">
      <c r="C785" s="1"/>
      <c r="D785" s="1"/>
      <c r="E785" s="1"/>
      <c r="J785" s="111"/>
      <c r="M785" s="111"/>
      <c r="P785" s="111"/>
      <c r="S785" s="111"/>
    </row>
    <row r="786" ht="12.75" customHeight="1">
      <c r="C786" s="1"/>
      <c r="D786" s="1"/>
      <c r="E786" s="1"/>
      <c r="J786" s="111"/>
      <c r="M786" s="111"/>
      <c r="P786" s="111"/>
      <c r="S786" s="111"/>
    </row>
    <row r="787" ht="12.75" customHeight="1">
      <c r="C787" s="1"/>
      <c r="D787" s="1"/>
      <c r="E787" s="1"/>
      <c r="J787" s="111"/>
      <c r="M787" s="111"/>
      <c r="P787" s="111"/>
      <c r="S787" s="111"/>
    </row>
    <row r="788" ht="12.75" customHeight="1">
      <c r="C788" s="1"/>
      <c r="D788" s="1"/>
      <c r="E788" s="1"/>
      <c r="J788" s="111"/>
      <c r="M788" s="111"/>
      <c r="P788" s="111"/>
      <c r="S788" s="111"/>
    </row>
    <row r="789" ht="12.75" customHeight="1">
      <c r="C789" s="1"/>
      <c r="D789" s="1"/>
      <c r="E789" s="1"/>
      <c r="J789" s="111"/>
      <c r="M789" s="111"/>
      <c r="P789" s="111"/>
      <c r="S789" s="111"/>
    </row>
    <row r="790" ht="12.75" customHeight="1">
      <c r="C790" s="1"/>
      <c r="D790" s="1"/>
      <c r="E790" s="1"/>
      <c r="J790" s="111"/>
      <c r="M790" s="111"/>
      <c r="P790" s="111"/>
      <c r="S790" s="111"/>
    </row>
    <row r="791" ht="12.75" customHeight="1">
      <c r="C791" s="1"/>
      <c r="D791" s="1"/>
      <c r="E791" s="1"/>
      <c r="J791" s="111"/>
      <c r="M791" s="111"/>
      <c r="P791" s="111"/>
      <c r="S791" s="111"/>
    </row>
    <row r="792" ht="12.75" customHeight="1">
      <c r="C792" s="1"/>
      <c r="D792" s="1"/>
      <c r="E792" s="1"/>
      <c r="J792" s="111"/>
      <c r="M792" s="111"/>
      <c r="P792" s="111"/>
      <c r="S792" s="111"/>
    </row>
    <row r="793" ht="12.75" customHeight="1">
      <c r="C793" s="1"/>
      <c r="D793" s="1"/>
      <c r="E793" s="1"/>
      <c r="J793" s="111"/>
      <c r="M793" s="111"/>
      <c r="P793" s="111"/>
      <c r="S793" s="111"/>
    </row>
    <row r="794" ht="12.75" customHeight="1">
      <c r="C794" s="1"/>
      <c r="D794" s="1"/>
      <c r="E794" s="1"/>
      <c r="J794" s="111"/>
      <c r="M794" s="111"/>
      <c r="P794" s="111"/>
      <c r="S794" s="111"/>
    </row>
    <row r="795" ht="12.75" customHeight="1">
      <c r="C795" s="1"/>
      <c r="D795" s="1"/>
      <c r="E795" s="1"/>
      <c r="J795" s="111"/>
      <c r="M795" s="111"/>
      <c r="P795" s="111"/>
      <c r="S795" s="111"/>
    </row>
    <row r="796" ht="12.75" customHeight="1">
      <c r="C796" s="1"/>
      <c r="D796" s="1"/>
      <c r="E796" s="1"/>
      <c r="J796" s="111"/>
      <c r="M796" s="111"/>
      <c r="P796" s="111"/>
      <c r="S796" s="111"/>
    </row>
    <row r="797" ht="12.75" customHeight="1">
      <c r="C797" s="1"/>
      <c r="D797" s="1"/>
      <c r="E797" s="1"/>
      <c r="J797" s="111"/>
      <c r="M797" s="111"/>
      <c r="P797" s="111"/>
      <c r="S797" s="111"/>
    </row>
    <row r="798" ht="12.75" customHeight="1">
      <c r="C798" s="1"/>
      <c r="D798" s="1"/>
      <c r="E798" s="1"/>
      <c r="J798" s="111"/>
      <c r="M798" s="111"/>
      <c r="P798" s="111"/>
      <c r="S798" s="111"/>
    </row>
    <row r="799" ht="12.75" customHeight="1">
      <c r="C799" s="1"/>
      <c r="D799" s="1"/>
      <c r="E799" s="1"/>
      <c r="J799" s="111"/>
      <c r="M799" s="111"/>
      <c r="P799" s="111"/>
      <c r="S799" s="111"/>
    </row>
    <row r="800" ht="12.75" customHeight="1">
      <c r="C800" s="1"/>
      <c r="D800" s="1"/>
      <c r="E800" s="1"/>
      <c r="J800" s="111"/>
      <c r="M800" s="111"/>
      <c r="P800" s="111"/>
      <c r="S800" s="111"/>
    </row>
    <row r="801" ht="12.75" customHeight="1">
      <c r="C801" s="1"/>
      <c r="D801" s="1"/>
      <c r="E801" s="1"/>
      <c r="J801" s="111"/>
      <c r="M801" s="111"/>
      <c r="P801" s="111"/>
      <c r="S801" s="111"/>
    </row>
    <row r="802" ht="12.75" customHeight="1">
      <c r="C802" s="1"/>
      <c r="D802" s="1"/>
      <c r="E802" s="1"/>
      <c r="J802" s="111"/>
      <c r="M802" s="111"/>
      <c r="P802" s="111"/>
      <c r="S802" s="111"/>
    </row>
    <row r="803" ht="12.75" customHeight="1">
      <c r="C803" s="1"/>
      <c r="D803" s="1"/>
      <c r="E803" s="1"/>
      <c r="J803" s="111"/>
      <c r="M803" s="111"/>
      <c r="P803" s="111"/>
      <c r="S803" s="111"/>
    </row>
    <row r="804" ht="12.75" customHeight="1">
      <c r="C804" s="1"/>
      <c r="D804" s="1"/>
      <c r="E804" s="1"/>
      <c r="J804" s="111"/>
      <c r="M804" s="111"/>
      <c r="P804" s="111"/>
      <c r="S804" s="111"/>
    </row>
    <row r="805" ht="12.75" customHeight="1">
      <c r="C805" s="1"/>
      <c r="D805" s="1"/>
      <c r="E805" s="1"/>
      <c r="J805" s="111"/>
      <c r="M805" s="111"/>
      <c r="P805" s="111"/>
      <c r="S805" s="111"/>
    </row>
    <row r="806" ht="12.75" customHeight="1">
      <c r="C806" s="1"/>
      <c r="D806" s="1"/>
      <c r="E806" s="1"/>
      <c r="J806" s="111"/>
      <c r="M806" s="111"/>
      <c r="P806" s="111"/>
      <c r="S806" s="111"/>
    </row>
    <row r="807" ht="12.75" customHeight="1">
      <c r="C807" s="1"/>
      <c r="D807" s="1"/>
      <c r="E807" s="1"/>
      <c r="J807" s="111"/>
      <c r="M807" s="111"/>
      <c r="P807" s="111"/>
      <c r="S807" s="111"/>
    </row>
    <row r="808" ht="12.75" customHeight="1">
      <c r="C808" s="1"/>
      <c r="D808" s="1"/>
      <c r="E808" s="1"/>
      <c r="J808" s="111"/>
      <c r="M808" s="111"/>
      <c r="P808" s="111"/>
      <c r="S808" s="111"/>
    </row>
    <row r="809" ht="12.75" customHeight="1">
      <c r="C809" s="1"/>
      <c r="D809" s="1"/>
      <c r="E809" s="1"/>
      <c r="J809" s="111"/>
      <c r="M809" s="111"/>
      <c r="P809" s="111"/>
      <c r="S809" s="111"/>
    </row>
    <row r="810" ht="12.75" customHeight="1">
      <c r="C810" s="1"/>
      <c r="D810" s="1"/>
      <c r="E810" s="1"/>
      <c r="J810" s="111"/>
      <c r="M810" s="111"/>
      <c r="P810" s="111"/>
      <c r="S810" s="111"/>
    </row>
    <row r="811" ht="12.75" customHeight="1">
      <c r="C811" s="1"/>
      <c r="D811" s="1"/>
      <c r="E811" s="1"/>
      <c r="J811" s="111"/>
      <c r="M811" s="111"/>
      <c r="P811" s="111"/>
      <c r="S811" s="111"/>
    </row>
    <row r="812" ht="12.75" customHeight="1">
      <c r="C812" s="1"/>
      <c r="D812" s="1"/>
      <c r="E812" s="1"/>
      <c r="J812" s="111"/>
      <c r="M812" s="111"/>
      <c r="P812" s="111"/>
      <c r="S812" s="111"/>
    </row>
    <row r="813" ht="12.75" customHeight="1">
      <c r="C813" s="1"/>
      <c r="D813" s="1"/>
      <c r="E813" s="1"/>
      <c r="J813" s="111"/>
      <c r="M813" s="111"/>
      <c r="P813" s="111"/>
      <c r="S813" s="111"/>
    </row>
    <row r="814" ht="12.75" customHeight="1">
      <c r="C814" s="1"/>
      <c r="D814" s="1"/>
      <c r="E814" s="1"/>
      <c r="J814" s="111"/>
      <c r="M814" s="111"/>
      <c r="P814" s="111"/>
      <c r="S814" s="111"/>
    </row>
    <row r="815" ht="12.75" customHeight="1">
      <c r="C815" s="1"/>
      <c r="D815" s="1"/>
      <c r="E815" s="1"/>
      <c r="J815" s="111"/>
      <c r="M815" s="111"/>
      <c r="P815" s="111"/>
      <c r="S815" s="111"/>
    </row>
    <row r="816" ht="12.75" customHeight="1">
      <c r="C816" s="1"/>
      <c r="D816" s="1"/>
      <c r="E816" s="1"/>
      <c r="J816" s="111"/>
      <c r="M816" s="111"/>
      <c r="P816" s="111"/>
      <c r="S816" s="111"/>
    </row>
    <row r="817" ht="12.75" customHeight="1">
      <c r="C817" s="1"/>
      <c r="D817" s="1"/>
      <c r="E817" s="1"/>
      <c r="J817" s="111"/>
      <c r="M817" s="111"/>
      <c r="P817" s="111"/>
      <c r="S817" s="111"/>
    </row>
    <row r="818" ht="12.75" customHeight="1">
      <c r="C818" s="1"/>
      <c r="D818" s="1"/>
      <c r="E818" s="1"/>
      <c r="J818" s="111"/>
      <c r="M818" s="111"/>
      <c r="P818" s="111"/>
      <c r="S818" s="111"/>
    </row>
    <row r="819" ht="12.75" customHeight="1">
      <c r="C819" s="1"/>
      <c r="D819" s="1"/>
      <c r="E819" s="1"/>
      <c r="J819" s="111"/>
      <c r="M819" s="111"/>
      <c r="P819" s="111"/>
      <c r="S819" s="111"/>
    </row>
    <row r="820" ht="12.75" customHeight="1">
      <c r="C820" s="1"/>
      <c r="D820" s="1"/>
      <c r="E820" s="1"/>
      <c r="J820" s="111"/>
      <c r="M820" s="111"/>
      <c r="P820" s="111"/>
      <c r="S820" s="111"/>
    </row>
    <row r="821" ht="12.75" customHeight="1">
      <c r="C821" s="1"/>
      <c r="D821" s="1"/>
      <c r="E821" s="1"/>
      <c r="J821" s="111"/>
      <c r="M821" s="111"/>
      <c r="P821" s="111"/>
      <c r="S821" s="111"/>
    </row>
    <row r="822" ht="12.75" customHeight="1">
      <c r="C822" s="1"/>
      <c r="D822" s="1"/>
      <c r="E822" s="1"/>
      <c r="J822" s="111"/>
      <c r="M822" s="111"/>
      <c r="P822" s="111"/>
      <c r="S822" s="111"/>
    </row>
    <row r="823" ht="12.75" customHeight="1">
      <c r="C823" s="1"/>
      <c r="D823" s="1"/>
      <c r="E823" s="1"/>
      <c r="J823" s="111"/>
      <c r="M823" s="111"/>
      <c r="P823" s="111"/>
      <c r="S823" s="111"/>
    </row>
    <row r="824" ht="12.75" customHeight="1">
      <c r="C824" s="1"/>
      <c r="D824" s="1"/>
      <c r="E824" s="1"/>
      <c r="J824" s="111"/>
      <c r="M824" s="111"/>
      <c r="P824" s="111"/>
      <c r="S824" s="111"/>
    </row>
    <row r="825" ht="12.75" customHeight="1">
      <c r="C825" s="1"/>
      <c r="D825" s="1"/>
      <c r="E825" s="1"/>
      <c r="J825" s="111"/>
      <c r="M825" s="111"/>
      <c r="P825" s="111"/>
      <c r="S825" s="111"/>
    </row>
    <row r="826" ht="12.75" customHeight="1">
      <c r="C826" s="1"/>
      <c r="D826" s="1"/>
      <c r="E826" s="1"/>
      <c r="J826" s="111"/>
      <c r="M826" s="111"/>
      <c r="P826" s="111"/>
      <c r="S826" s="111"/>
    </row>
    <row r="827" ht="12.75" customHeight="1">
      <c r="C827" s="1"/>
      <c r="D827" s="1"/>
      <c r="E827" s="1"/>
      <c r="J827" s="111"/>
      <c r="M827" s="111"/>
      <c r="P827" s="111"/>
      <c r="S827" s="111"/>
    </row>
    <row r="828" ht="12.75" customHeight="1">
      <c r="C828" s="1"/>
      <c r="D828" s="1"/>
      <c r="E828" s="1"/>
      <c r="J828" s="111"/>
      <c r="M828" s="111"/>
      <c r="P828" s="111"/>
      <c r="S828" s="111"/>
    </row>
    <row r="829" ht="12.75" customHeight="1">
      <c r="C829" s="1"/>
      <c r="D829" s="1"/>
      <c r="E829" s="1"/>
      <c r="J829" s="111"/>
      <c r="M829" s="111"/>
      <c r="P829" s="111"/>
      <c r="S829" s="111"/>
    </row>
    <row r="830" ht="12.75" customHeight="1">
      <c r="C830" s="1"/>
      <c r="D830" s="1"/>
      <c r="E830" s="1"/>
      <c r="J830" s="111"/>
      <c r="M830" s="111"/>
      <c r="P830" s="111"/>
      <c r="S830" s="111"/>
    </row>
    <row r="831" ht="12.75" customHeight="1">
      <c r="C831" s="1"/>
      <c r="D831" s="1"/>
      <c r="E831" s="1"/>
      <c r="J831" s="111"/>
      <c r="M831" s="111"/>
      <c r="P831" s="111"/>
      <c r="S831" s="111"/>
    </row>
    <row r="832" ht="12.75" customHeight="1">
      <c r="C832" s="1"/>
      <c r="D832" s="1"/>
      <c r="E832" s="1"/>
      <c r="J832" s="111"/>
      <c r="M832" s="111"/>
      <c r="P832" s="111"/>
      <c r="S832" s="111"/>
    </row>
    <row r="833" ht="12.75" customHeight="1">
      <c r="C833" s="1"/>
      <c r="D833" s="1"/>
      <c r="E833" s="1"/>
      <c r="J833" s="111"/>
      <c r="M833" s="111"/>
      <c r="P833" s="111"/>
      <c r="S833" s="111"/>
    </row>
    <row r="834" ht="12.75" customHeight="1">
      <c r="C834" s="1"/>
      <c r="D834" s="1"/>
      <c r="E834" s="1"/>
      <c r="J834" s="111"/>
      <c r="M834" s="111"/>
      <c r="P834" s="111"/>
      <c r="S834" s="111"/>
    </row>
    <row r="835" ht="12.75" customHeight="1">
      <c r="C835" s="1"/>
      <c r="D835" s="1"/>
      <c r="E835" s="1"/>
      <c r="J835" s="111"/>
      <c r="M835" s="111"/>
      <c r="P835" s="111"/>
      <c r="S835" s="111"/>
    </row>
    <row r="836" ht="12.75" customHeight="1">
      <c r="C836" s="1"/>
      <c r="D836" s="1"/>
      <c r="E836" s="1"/>
      <c r="J836" s="111"/>
      <c r="M836" s="111"/>
      <c r="P836" s="111"/>
      <c r="S836" s="111"/>
    </row>
    <row r="837" ht="12.75" customHeight="1">
      <c r="C837" s="1"/>
      <c r="D837" s="1"/>
      <c r="E837" s="1"/>
      <c r="J837" s="111"/>
      <c r="M837" s="111"/>
      <c r="P837" s="111"/>
      <c r="S837" s="111"/>
    </row>
    <row r="838" ht="12.75" customHeight="1">
      <c r="C838" s="1"/>
      <c r="D838" s="1"/>
      <c r="E838" s="1"/>
      <c r="J838" s="111"/>
      <c r="M838" s="111"/>
      <c r="P838" s="111"/>
      <c r="S838" s="111"/>
    </row>
    <row r="839" ht="12.75" customHeight="1">
      <c r="C839" s="1"/>
      <c r="D839" s="1"/>
      <c r="E839" s="1"/>
      <c r="J839" s="111"/>
      <c r="M839" s="111"/>
      <c r="P839" s="111"/>
      <c r="S839" s="111"/>
    </row>
    <row r="840" ht="12.75" customHeight="1">
      <c r="C840" s="1"/>
      <c r="D840" s="1"/>
      <c r="E840" s="1"/>
      <c r="J840" s="111"/>
      <c r="M840" s="111"/>
      <c r="P840" s="111"/>
      <c r="S840" s="111"/>
    </row>
    <row r="841" ht="12.75" customHeight="1">
      <c r="C841" s="1"/>
      <c r="D841" s="1"/>
      <c r="E841" s="1"/>
      <c r="J841" s="111"/>
      <c r="M841" s="111"/>
      <c r="P841" s="111"/>
      <c r="S841" s="111"/>
    </row>
    <row r="842" ht="12.75" customHeight="1">
      <c r="C842" s="1"/>
      <c r="D842" s="1"/>
      <c r="E842" s="1"/>
      <c r="J842" s="111"/>
      <c r="M842" s="111"/>
      <c r="P842" s="111"/>
      <c r="S842" s="111"/>
    </row>
    <row r="843" ht="12.75" customHeight="1">
      <c r="C843" s="1"/>
      <c r="D843" s="1"/>
      <c r="E843" s="1"/>
      <c r="J843" s="111"/>
      <c r="M843" s="111"/>
      <c r="P843" s="111"/>
      <c r="S843" s="111"/>
    </row>
    <row r="844" ht="12.75" customHeight="1">
      <c r="C844" s="1"/>
      <c r="D844" s="1"/>
      <c r="E844" s="1"/>
      <c r="J844" s="111"/>
      <c r="M844" s="111"/>
      <c r="P844" s="111"/>
      <c r="S844" s="111"/>
    </row>
    <row r="845" ht="12.75" customHeight="1">
      <c r="C845" s="1"/>
      <c r="D845" s="1"/>
      <c r="E845" s="1"/>
      <c r="J845" s="111"/>
      <c r="M845" s="111"/>
      <c r="P845" s="111"/>
      <c r="S845" s="111"/>
    </row>
    <row r="846" ht="12.75" customHeight="1">
      <c r="C846" s="1"/>
      <c r="D846" s="1"/>
      <c r="E846" s="1"/>
      <c r="J846" s="111"/>
      <c r="M846" s="111"/>
      <c r="P846" s="111"/>
      <c r="S846" s="111"/>
    </row>
    <row r="847" ht="12.75" customHeight="1">
      <c r="C847" s="1"/>
      <c r="D847" s="1"/>
      <c r="E847" s="1"/>
      <c r="J847" s="111"/>
      <c r="M847" s="111"/>
      <c r="P847" s="111"/>
      <c r="S847" s="111"/>
    </row>
    <row r="848" ht="12.75" customHeight="1">
      <c r="C848" s="1"/>
      <c r="D848" s="1"/>
      <c r="E848" s="1"/>
      <c r="J848" s="111"/>
      <c r="M848" s="111"/>
      <c r="P848" s="111"/>
      <c r="S848" s="111"/>
    </row>
    <row r="849" ht="12.75" customHeight="1">
      <c r="C849" s="1"/>
      <c r="D849" s="1"/>
      <c r="E849" s="1"/>
      <c r="J849" s="111"/>
      <c r="M849" s="111"/>
      <c r="P849" s="111"/>
      <c r="S849" s="111"/>
    </row>
    <row r="850" ht="12.75" customHeight="1">
      <c r="C850" s="1"/>
      <c r="D850" s="1"/>
      <c r="E850" s="1"/>
      <c r="J850" s="111"/>
      <c r="M850" s="111"/>
      <c r="P850" s="111"/>
      <c r="S850" s="111"/>
    </row>
    <row r="851" ht="12.75" customHeight="1">
      <c r="C851" s="1"/>
      <c r="D851" s="1"/>
      <c r="E851" s="1"/>
      <c r="J851" s="111"/>
      <c r="M851" s="111"/>
      <c r="P851" s="111"/>
      <c r="S851" s="111"/>
    </row>
    <row r="852" ht="12.75" customHeight="1">
      <c r="C852" s="1"/>
      <c r="D852" s="1"/>
      <c r="E852" s="1"/>
      <c r="J852" s="111"/>
      <c r="M852" s="111"/>
      <c r="P852" s="111"/>
      <c r="S852" s="111"/>
    </row>
    <row r="853" ht="12.75" customHeight="1">
      <c r="C853" s="1"/>
      <c r="D853" s="1"/>
      <c r="E853" s="1"/>
      <c r="J853" s="111"/>
      <c r="M853" s="111"/>
      <c r="P853" s="111"/>
      <c r="S853" s="111"/>
    </row>
    <row r="854" ht="12.75" customHeight="1">
      <c r="C854" s="1"/>
      <c r="D854" s="1"/>
      <c r="E854" s="1"/>
      <c r="J854" s="111"/>
      <c r="M854" s="111"/>
      <c r="P854" s="111"/>
      <c r="S854" s="111"/>
    </row>
    <row r="855" ht="12.75" customHeight="1">
      <c r="C855" s="1"/>
      <c r="D855" s="1"/>
      <c r="E855" s="1"/>
      <c r="J855" s="111"/>
      <c r="M855" s="111"/>
      <c r="P855" s="111"/>
      <c r="S855" s="111"/>
    </row>
    <row r="856" ht="12.75" customHeight="1">
      <c r="C856" s="1"/>
      <c r="D856" s="1"/>
      <c r="E856" s="1"/>
      <c r="J856" s="111"/>
      <c r="M856" s="111"/>
      <c r="P856" s="111"/>
      <c r="S856" s="111"/>
    </row>
    <row r="857" ht="12.75" customHeight="1">
      <c r="C857" s="1"/>
      <c r="D857" s="1"/>
      <c r="E857" s="1"/>
      <c r="J857" s="111"/>
      <c r="M857" s="111"/>
      <c r="P857" s="111"/>
      <c r="S857" s="111"/>
    </row>
    <row r="858" ht="12.75" customHeight="1">
      <c r="C858" s="1"/>
      <c r="D858" s="1"/>
      <c r="E858" s="1"/>
      <c r="J858" s="111"/>
      <c r="M858" s="111"/>
      <c r="P858" s="111"/>
      <c r="S858" s="111"/>
    </row>
    <row r="859" ht="12.75" customHeight="1">
      <c r="C859" s="1"/>
      <c r="D859" s="1"/>
      <c r="E859" s="1"/>
      <c r="J859" s="111"/>
      <c r="M859" s="111"/>
      <c r="P859" s="111"/>
      <c r="S859" s="111"/>
    </row>
    <row r="860" ht="12.75" customHeight="1">
      <c r="C860" s="1"/>
      <c r="D860" s="1"/>
      <c r="E860" s="1"/>
      <c r="J860" s="111"/>
      <c r="M860" s="111"/>
      <c r="P860" s="111"/>
      <c r="S860" s="111"/>
    </row>
    <row r="861" ht="12.75" customHeight="1">
      <c r="C861" s="1"/>
      <c r="D861" s="1"/>
      <c r="E861" s="1"/>
      <c r="J861" s="111"/>
      <c r="M861" s="111"/>
      <c r="P861" s="111"/>
      <c r="S861" s="111"/>
    </row>
    <row r="862" ht="12.75" customHeight="1">
      <c r="C862" s="1"/>
      <c r="D862" s="1"/>
      <c r="E862" s="1"/>
      <c r="J862" s="111"/>
      <c r="M862" s="111"/>
      <c r="P862" s="111"/>
      <c r="S862" s="111"/>
    </row>
    <row r="863" ht="12.75" customHeight="1">
      <c r="C863" s="1"/>
      <c r="D863" s="1"/>
      <c r="E863" s="1"/>
      <c r="J863" s="111"/>
      <c r="M863" s="111"/>
      <c r="P863" s="111"/>
      <c r="S863" s="111"/>
    </row>
    <row r="864" ht="12.75" customHeight="1">
      <c r="C864" s="1"/>
      <c r="D864" s="1"/>
      <c r="E864" s="1"/>
      <c r="J864" s="111"/>
      <c r="M864" s="111"/>
      <c r="P864" s="111"/>
      <c r="S864" s="111"/>
    </row>
    <row r="865" ht="12.75" customHeight="1">
      <c r="C865" s="1"/>
      <c r="D865" s="1"/>
      <c r="E865" s="1"/>
      <c r="J865" s="111"/>
      <c r="M865" s="111"/>
      <c r="P865" s="111"/>
      <c r="S865" s="111"/>
    </row>
    <row r="866" ht="12.75" customHeight="1">
      <c r="C866" s="1"/>
      <c r="D866" s="1"/>
      <c r="E866" s="1"/>
      <c r="J866" s="111"/>
      <c r="M866" s="111"/>
      <c r="P866" s="111"/>
      <c r="S866" s="111"/>
    </row>
    <row r="867" ht="12.75" customHeight="1">
      <c r="C867" s="1"/>
      <c r="D867" s="1"/>
      <c r="E867" s="1"/>
      <c r="J867" s="111"/>
      <c r="M867" s="111"/>
      <c r="P867" s="111"/>
      <c r="S867" s="111"/>
    </row>
    <row r="868" ht="12.75" customHeight="1">
      <c r="C868" s="1"/>
      <c r="D868" s="1"/>
      <c r="E868" s="1"/>
      <c r="J868" s="111"/>
      <c r="M868" s="111"/>
      <c r="P868" s="111"/>
      <c r="S868" s="111"/>
    </row>
    <row r="869" ht="12.75" customHeight="1">
      <c r="C869" s="1"/>
      <c r="D869" s="1"/>
      <c r="E869" s="1"/>
      <c r="J869" s="111"/>
      <c r="M869" s="111"/>
      <c r="P869" s="111"/>
      <c r="S869" s="111"/>
    </row>
    <row r="870" ht="12.75" customHeight="1">
      <c r="C870" s="1"/>
      <c r="D870" s="1"/>
      <c r="E870" s="1"/>
      <c r="J870" s="111"/>
      <c r="M870" s="111"/>
      <c r="P870" s="111"/>
      <c r="S870" s="111"/>
    </row>
    <row r="871" ht="12.75" customHeight="1">
      <c r="C871" s="1"/>
      <c r="D871" s="1"/>
      <c r="E871" s="1"/>
      <c r="J871" s="111"/>
      <c r="M871" s="111"/>
      <c r="P871" s="111"/>
      <c r="S871" s="111"/>
    </row>
    <row r="872" ht="12.75" customHeight="1">
      <c r="C872" s="1"/>
      <c r="D872" s="1"/>
      <c r="E872" s="1"/>
      <c r="J872" s="111"/>
      <c r="M872" s="111"/>
      <c r="P872" s="111"/>
      <c r="S872" s="111"/>
    </row>
    <row r="873" ht="12.75" customHeight="1">
      <c r="C873" s="1"/>
      <c r="D873" s="1"/>
      <c r="E873" s="1"/>
      <c r="J873" s="111"/>
      <c r="M873" s="111"/>
      <c r="P873" s="111"/>
      <c r="S873" s="111"/>
    </row>
    <row r="874" ht="12.75" customHeight="1">
      <c r="C874" s="1"/>
      <c r="D874" s="1"/>
      <c r="E874" s="1"/>
      <c r="J874" s="111"/>
      <c r="M874" s="111"/>
      <c r="P874" s="111"/>
      <c r="S874" s="111"/>
    </row>
    <row r="875" ht="12.75" customHeight="1">
      <c r="C875" s="1"/>
      <c r="D875" s="1"/>
      <c r="E875" s="1"/>
      <c r="J875" s="111"/>
      <c r="M875" s="111"/>
      <c r="P875" s="111"/>
      <c r="S875" s="111"/>
    </row>
    <row r="876" ht="12.75" customHeight="1">
      <c r="C876" s="1"/>
      <c r="D876" s="1"/>
      <c r="E876" s="1"/>
      <c r="J876" s="111"/>
      <c r="M876" s="111"/>
      <c r="P876" s="111"/>
      <c r="S876" s="111"/>
    </row>
    <row r="877" ht="12.75" customHeight="1">
      <c r="C877" s="1"/>
      <c r="D877" s="1"/>
      <c r="E877" s="1"/>
      <c r="J877" s="111"/>
      <c r="M877" s="111"/>
      <c r="P877" s="111"/>
      <c r="S877" s="111"/>
    </row>
    <row r="878" ht="12.75" customHeight="1">
      <c r="C878" s="1"/>
      <c r="D878" s="1"/>
      <c r="E878" s="1"/>
      <c r="J878" s="111"/>
      <c r="M878" s="111"/>
      <c r="P878" s="111"/>
      <c r="S878" s="111"/>
    </row>
    <row r="879" ht="12.75" customHeight="1">
      <c r="C879" s="1"/>
      <c r="D879" s="1"/>
      <c r="E879" s="1"/>
      <c r="J879" s="111"/>
      <c r="M879" s="111"/>
      <c r="P879" s="111"/>
      <c r="S879" s="111"/>
    </row>
    <row r="880" ht="12.75" customHeight="1">
      <c r="C880" s="1"/>
      <c r="D880" s="1"/>
      <c r="E880" s="1"/>
      <c r="J880" s="111"/>
      <c r="M880" s="111"/>
      <c r="P880" s="111"/>
      <c r="S880" s="111"/>
    </row>
    <row r="881" ht="12.75" customHeight="1">
      <c r="C881" s="1"/>
      <c r="D881" s="1"/>
      <c r="E881" s="1"/>
      <c r="J881" s="111"/>
      <c r="M881" s="111"/>
      <c r="P881" s="111"/>
      <c r="S881" s="111"/>
    </row>
    <row r="882" ht="12.75" customHeight="1">
      <c r="C882" s="1"/>
      <c r="D882" s="1"/>
      <c r="E882" s="1"/>
      <c r="J882" s="111"/>
      <c r="M882" s="111"/>
      <c r="P882" s="111"/>
      <c r="S882" s="111"/>
    </row>
    <row r="883" ht="12.75" customHeight="1">
      <c r="C883" s="1"/>
      <c r="D883" s="1"/>
      <c r="E883" s="1"/>
      <c r="J883" s="111"/>
      <c r="M883" s="111"/>
      <c r="P883" s="111"/>
      <c r="S883" s="111"/>
    </row>
    <row r="884" ht="12.75" customHeight="1">
      <c r="C884" s="1"/>
      <c r="D884" s="1"/>
      <c r="E884" s="1"/>
      <c r="J884" s="111"/>
      <c r="M884" s="111"/>
      <c r="P884" s="111"/>
      <c r="S884" s="111"/>
    </row>
    <row r="885" ht="12.75" customHeight="1">
      <c r="C885" s="1"/>
      <c r="D885" s="1"/>
      <c r="E885" s="1"/>
      <c r="J885" s="111"/>
      <c r="M885" s="111"/>
      <c r="P885" s="111"/>
      <c r="S885" s="111"/>
    </row>
    <row r="886" ht="12.75" customHeight="1">
      <c r="C886" s="1"/>
      <c r="D886" s="1"/>
      <c r="E886" s="1"/>
      <c r="J886" s="111"/>
      <c r="M886" s="111"/>
      <c r="P886" s="111"/>
      <c r="S886" s="111"/>
    </row>
    <row r="887" ht="12.75" customHeight="1">
      <c r="C887" s="1"/>
      <c r="D887" s="1"/>
      <c r="E887" s="1"/>
      <c r="J887" s="111"/>
      <c r="M887" s="111"/>
      <c r="P887" s="111"/>
      <c r="S887" s="111"/>
    </row>
    <row r="888" ht="12.75" customHeight="1">
      <c r="C888" s="1"/>
      <c r="D888" s="1"/>
      <c r="E888" s="1"/>
      <c r="J888" s="111"/>
      <c r="M888" s="111"/>
      <c r="P888" s="111"/>
      <c r="S888" s="111"/>
    </row>
    <row r="889" ht="12.75" customHeight="1">
      <c r="C889" s="1"/>
      <c r="D889" s="1"/>
      <c r="E889" s="1"/>
      <c r="J889" s="111"/>
      <c r="M889" s="111"/>
      <c r="P889" s="111"/>
      <c r="S889" s="111"/>
    </row>
    <row r="890" ht="12.75" customHeight="1">
      <c r="C890" s="1"/>
      <c r="D890" s="1"/>
      <c r="E890" s="1"/>
      <c r="J890" s="111"/>
      <c r="M890" s="111"/>
      <c r="P890" s="111"/>
      <c r="S890" s="111"/>
    </row>
    <row r="891" ht="12.75" customHeight="1">
      <c r="C891" s="1"/>
      <c r="D891" s="1"/>
      <c r="E891" s="1"/>
      <c r="J891" s="111"/>
      <c r="M891" s="111"/>
      <c r="P891" s="111"/>
      <c r="S891" s="111"/>
    </row>
    <row r="892" ht="12.75" customHeight="1">
      <c r="C892" s="1"/>
      <c r="D892" s="1"/>
      <c r="E892" s="1"/>
      <c r="J892" s="111"/>
      <c r="M892" s="111"/>
      <c r="P892" s="111"/>
      <c r="S892" s="111"/>
    </row>
    <row r="893" ht="12.75" customHeight="1">
      <c r="C893" s="1"/>
      <c r="D893" s="1"/>
      <c r="E893" s="1"/>
      <c r="J893" s="111"/>
      <c r="M893" s="111"/>
      <c r="P893" s="111"/>
      <c r="S893" s="111"/>
    </row>
    <row r="894" ht="12.75" customHeight="1">
      <c r="C894" s="1"/>
      <c r="D894" s="1"/>
      <c r="E894" s="1"/>
      <c r="J894" s="111"/>
      <c r="M894" s="111"/>
      <c r="P894" s="111"/>
      <c r="S894" s="111"/>
    </row>
    <row r="895" ht="12.75" customHeight="1">
      <c r="C895" s="1"/>
      <c r="D895" s="1"/>
      <c r="E895" s="1"/>
      <c r="J895" s="111"/>
      <c r="M895" s="111"/>
      <c r="P895" s="111"/>
      <c r="S895" s="111"/>
    </row>
    <row r="896" ht="12.75" customHeight="1">
      <c r="C896" s="1"/>
      <c r="D896" s="1"/>
      <c r="E896" s="1"/>
      <c r="J896" s="111"/>
      <c r="M896" s="111"/>
      <c r="P896" s="111"/>
      <c r="S896" s="111"/>
    </row>
    <row r="897" ht="12.75" customHeight="1">
      <c r="C897" s="1"/>
      <c r="D897" s="1"/>
      <c r="E897" s="1"/>
      <c r="J897" s="111"/>
      <c r="M897" s="111"/>
      <c r="P897" s="111"/>
      <c r="S897" s="111"/>
    </row>
    <row r="898" ht="12.75" customHeight="1">
      <c r="C898" s="1"/>
      <c r="D898" s="1"/>
      <c r="E898" s="1"/>
      <c r="J898" s="111"/>
      <c r="M898" s="111"/>
      <c r="P898" s="111"/>
      <c r="S898" s="111"/>
    </row>
    <row r="899" ht="12.75" customHeight="1">
      <c r="C899" s="1"/>
      <c r="D899" s="1"/>
      <c r="E899" s="1"/>
      <c r="J899" s="111"/>
      <c r="M899" s="111"/>
      <c r="P899" s="111"/>
      <c r="S899" s="111"/>
    </row>
    <row r="900" ht="12.75" customHeight="1">
      <c r="C900" s="1"/>
      <c r="D900" s="1"/>
      <c r="E900" s="1"/>
      <c r="J900" s="111"/>
      <c r="M900" s="111"/>
      <c r="P900" s="111"/>
      <c r="S900" s="111"/>
    </row>
    <row r="901" ht="12.75" customHeight="1">
      <c r="C901" s="1"/>
      <c r="D901" s="1"/>
      <c r="E901" s="1"/>
      <c r="J901" s="111"/>
      <c r="M901" s="111"/>
      <c r="P901" s="111"/>
      <c r="S901" s="111"/>
    </row>
    <row r="902" ht="12.75" customHeight="1">
      <c r="C902" s="1"/>
      <c r="D902" s="1"/>
      <c r="E902" s="1"/>
      <c r="J902" s="111"/>
      <c r="M902" s="111"/>
      <c r="P902" s="111"/>
      <c r="S902" s="111"/>
    </row>
    <row r="903" ht="12.75" customHeight="1">
      <c r="C903" s="1"/>
      <c r="D903" s="1"/>
      <c r="E903" s="1"/>
      <c r="J903" s="111"/>
      <c r="M903" s="111"/>
      <c r="P903" s="111"/>
      <c r="S903" s="111"/>
    </row>
    <row r="904" ht="12.75" customHeight="1">
      <c r="C904" s="1"/>
      <c r="D904" s="1"/>
      <c r="E904" s="1"/>
      <c r="J904" s="111"/>
      <c r="M904" s="111"/>
      <c r="P904" s="111"/>
      <c r="S904" s="111"/>
    </row>
    <row r="905" ht="12.75" customHeight="1">
      <c r="C905" s="1"/>
      <c r="D905" s="1"/>
      <c r="E905" s="1"/>
      <c r="J905" s="111"/>
      <c r="M905" s="111"/>
      <c r="P905" s="111"/>
      <c r="S905" s="111"/>
    </row>
    <row r="906" ht="12.75" customHeight="1">
      <c r="C906" s="1"/>
      <c r="D906" s="1"/>
      <c r="E906" s="1"/>
      <c r="J906" s="111"/>
      <c r="M906" s="111"/>
      <c r="P906" s="111"/>
      <c r="S906" s="111"/>
    </row>
    <row r="907" ht="12.75" customHeight="1">
      <c r="C907" s="1"/>
      <c r="D907" s="1"/>
      <c r="E907" s="1"/>
      <c r="J907" s="111"/>
      <c r="M907" s="111"/>
      <c r="P907" s="111"/>
      <c r="S907" s="111"/>
    </row>
    <row r="908" ht="12.75" customHeight="1">
      <c r="C908" s="1"/>
      <c r="D908" s="1"/>
      <c r="E908" s="1"/>
      <c r="J908" s="111"/>
      <c r="M908" s="111"/>
      <c r="P908" s="111"/>
      <c r="S908" s="111"/>
    </row>
    <row r="909" ht="12.75" customHeight="1">
      <c r="C909" s="1"/>
      <c r="D909" s="1"/>
      <c r="E909" s="1"/>
      <c r="J909" s="111"/>
      <c r="M909" s="111"/>
      <c r="P909" s="111"/>
      <c r="S909" s="111"/>
    </row>
    <row r="910" ht="12.75" customHeight="1">
      <c r="C910" s="1"/>
      <c r="D910" s="1"/>
      <c r="E910" s="1"/>
      <c r="J910" s="111"/>
      <c r="M910" s="111"/>
      <c r="P910" s="111"/>
      <c r="S910" s="111"/>
    </row>
    <row r="911" ht="12.75" customHeight="1">
      <c r="C911" s="1"/>
      <c r="D911" s="1"/>
      <c r="E911" s="1"/>
      <c r="J911" s="111"/>
      <c r="M911" s="111"/>
      <c r="P911" s="111"/>
      <c r="S911" s="111"/>
    </row>
    <row r="912" ht="12.75" customHeight="1">
      <c r="C912" s="1"/>
      <c r="D912" s="1"/>
      <c r="E912" s="1"/>
      <c r="J912" s="111"/>
      <c r="M912" s="111"/>
      <c r="P912" s="111"/>
      <c r="S912" s="111"/>
    </row>
    <row r="913" ht="12.75" customHeight="1">
      <c r="C913" s="1"/>
      <c r="D913" s="1"/>
      <c r="E913" s="1"/>
      <c r="J913" s="111"/>
      <c r="M913" s="111"/>
      <c r="P913" s="111"/>
      <c r="S913" s="111"/>
    </row>
    <row r="914" ht="12.75" customHeight="1">
      <c r="C914" s="1"/>
      <c r="D914" s="1"/>
      <c r="E914" s="1"/>
      <c r="J914" s="111"/>
      <c r="M914" s="111"/>
      <c r="P914" s="111"/>
      <c r="S914" s="111"/>
    </row>
    <row r="915" ht="12.75" customHeight="1">
      <c r="C915" s="1"/>
      <c r="D915" s="1"/>
      <c r="E915" s="1"/>
      <c r="J915" s="111"/>
      <c r="M915" s="111"/>
      <c r="P915" s="111"/>
      <c r="S915" s="111"/>
    </row>
    <row r="916" ht="12.75" customHeight="1">
      <c r="C916" s="1"/>
      <c r="D916" s="1"/>
      <c r="E916" s="1"/>
      <c r="J916" s="111"/>
      <c r="M916" s="111"/>
      <c r="P916" s="111"/>
      <c r="S916" s="111"/>
    </row>
    <row r="917" ht="12.75" customHeight="1">
      <c r="C917" s="1"/>
      <c r="D917" s="1"/>
      <c r="E917" s="1"/>
      <c r="J917" s="111"/>
      <c r="M917" s="111"/>
      <c r="P917" s="111"/>
      <c r="S917" s="111"/>
    </row>
    <row r="918" ht="12.75" customHeight="1">
      <c r="C918" s="1"/>
      <c r="D918" s="1"/>
      <c r="E918" s="1"/>
      <c r="J918" s="111"/>
      <c r="M918" s="111"/>
      <c r="P918" s="111"/>
      <c r="S918" s="111"/>
    </row>
    <row r="919" ht="12.75" customHeight="1">
      <c r="C919" s="1"/>
      <c r="D919" s="1"/>
      <c r="E919" s="1"/>
      <c r="J919" s="111"/>
      <c r="M919" s="111"/>
      <c r="P919" s="111"/>
      <c r="S919" s="111"/>
    </row>
    <row r="920" ht="12.75" customHeight="1">
      <c r="C920" s="1"/>
      <c r="D920" s="1"/>
      <c r="E920" s="1"/>
      <c r="J920" s="111"/>
      <c r="M920" s="111"/>
      <c r="P920" s="111"/>
      <c r="S920" s="111"/>
    </row>
    <row r="921" ht="12.75" customHeight="1">
      <c r="C921" s="1"/>
      <c r="D921" s="1"/>
      <c r="E921" s="1"/>
      <c r="J921" s="111"/>
      <c r="M921" s="111"/>
      <c r="P921" s="111"/>
      <c r="S921" s="111"/>
    </row>
    <row r="922" ht="12.75" customHeight="1">
      <c r="C922" s="1"/>
      <c r="D922" s="1"/>
      <c r="E922" s="1"/>
      <c r="J922" s="111"/>
      <c r="M922" s="111"/>
      <c r="P922" s="111"/>
      <c r="S922" s="111"/>
    </row>
    <row r="923" ht="12.75" customHeight="1">
      <c r="C923" s="1"/>
      <c r="D923" s="1"/>
      <c r="E923" s="1"/>
      <c r="J923" s="111"/>
      <c r="M923" s="111"/>
      <c r="P923" s="111"/>
      <c r="S923" s="111"/>
    </row>
    <row r="924" ht="12.75" customHeight="1">
      <c r="C924" s="1"/>
      <c r="D924" s="1"/>
      <c r="E924" s="1"/>
      <c r="J924" s="111"/>
      <c r="M924" s="111"/>
      <c r="P924" s="111"/>
      <c r="S924" s="111"/>
    </row>
    <row r="925" ht="12.75" customHeight="1">
      <c r="C925" s="1"/>
      <c r="D925" s="1"/>
      <c r="E925" s="1"/>
      <c r="J925" s="111"/>
      <c r="M925" s="111"/>
      <c r="P925" s="111"/>
      <c r="S925" s="111"/>
    </row>
    <row r="926" ht="12.75" customHeight="1">
      <c r="C926" s="1"/>
      <c r="D926" s="1"/>
      <c r="E926" s="1"/>
      <c r="J926" s="111"/>
      <c r="M926" s="111"/>
      <c r="P926" s="111"/>
      <c r="S926" s="111"/>
    </row>
    <row r="927" ht="12.75" customHeight="1">
      <c r="C927" s="1"/>
      <c r="D927" s="1"/>
      <c r="E927" s="1"/>
      <c r="J927" s="111"/>
      <c r="M927" s="111"/>
      <c r="P927" s="111"/>
      <c r="S927" s="111"/>
    </row>
    <row r="928" ht="12.75" customHeight="1">
      <c r="C928" s="1"/>
      <c r="D928" s="1"/>
      <c r="E928" s="1"/>
      <c r="J928" s="111"/>
      <c r="M928" s="111"/>
      <c r="P928" s="111"/>
      <c r="S928" s="111"/>
    </row>
    <row r="929" ht="12.75" customHeight="1">
      <c r="C929" s="1"/>
      <c r="D929" s="1"/>
      <c r="E929" s="1"/>
      <c r="J929" s="111"/>
      <c r="M929" s="111"/>
      <c r="P929" s="111"/>
      <c r="S929" s="111"/>
    </row>
    <row r="930" ht="12.75" customHeight="1">
      <c r="C930" s="1"/>
      <c r="D930" s="1"/>
      <c r="E930" s="1"/>
      <c r="J930" s="111"/>
      <c r="M930" s="111"/>
      <c r="P930" s="111"/>
      <c r="S930" s="111"/>
    </row>
    <row r="931" ht="12.75" customHeight="1">
      <c r="C931" s="1"/>
      <c r="D931" s="1"/>
      <c r="E931" s="1"/>
      <c r="J931" s="111"/>
      <c r="M931" s="111"/>
      <c r="P931" s="111"/>
      <c r="S931" s="111"/>
    </row>
    <row r="932" ht="12.75" customHeight="1">
      <c r="C932" s="1"/>
      <c r="D932" s="1"/>
      <c r="E932" s="1"/>
      <c r="J932" s="111"/>
      <c r="M932" s="111"/>
      <c r="P932" s="111"/>
      <c r="S932" s="111"/>
    </row>
    <row r="933" ht="12.75" customHeight="1">
      <c r="C933" s="1"/>
      <c r="D933" s="1"/>
      <c r="E933" s="1"/>
      <c r="J933" s="111"/>
      <c r="M933" s="111"/>
      <c r="P933" s="111"/>
      <c r="S933" s="111"/>
    </row>
    <row r="934" ht="12.75" customHeight="1">
      <c r="C934" s="1"/>
      <c r="D934" s="1"/>
      <c r="E934" s="1"/>
      <c r="J934" s="111"/>
      <c r="M934" s="111"/>
      <c r="P934" s="111"/>
      <c r="S934" s="111"/>
    </row>
    <row r="935" ht="12.75" customHeight="1">
      <c r="C935" s="1"/>
      <c r="D935" s="1"/>
      <c r="E935" s="1"/>
      <c r="J935" s="111"/>
      <c r="M935" s="111"/>
      <c r="P935" s="111"/>
      <c r="S935" s="111"/>
    </row>
    <row r="936" ht="12.75" customHeight="1">
      <c r="C936" s="1"/>
      <c r="D936" s="1"/>
      <c r="E936" s="1"/>
      <c r="J936" s="111"/>
      <c r="M936" s="111"/>
      <c r="P936" s="111"/>
      <c r="S936" s="111"/>
    </row>
    <row r="937" ht="12.75" customHeight="1">
      <c r="C937" s="1"/>
      <c r="D937" s="1"/>
      <c r="E937" s="1"/>
      <c r="J937" s="111"/>
      <c r="M937" s="111"/>
      <c r="P937" s="111"/>
      <c r="S937" s="111"/>
    </row>
    <row r="938" ht="12.75" customHeight="1">
      <c r="C938" s="1"/>
      <c r="D938" s="1"/>
      <c r="E938" s="1"/>
      <c r="J938" s="111"/>
      <c r="M938" s="111"/>
      <c r="P938" s="111"/>
      <c r="S938" s="111"/>
    </row>
    <row r="939" ht="12.75" customHeight="1">
      <c r="C939" s="1"/>
      <c r="D939" s="1"/>
      <c r="E939" s="1"/>
      <c r="J939" s="111"/>
      <c r="M939" s="111"/>
      <c r="P939" s="111"/>
      <c r="S939" s="111"/>
    </row>
    <row r="940" ht="12.75" customHeight="1">
      <c r="C940" s="1"/>
      <c r="D940" s="1"/>
      <c r="E940" s="1"/>
      <c r="J940" s="111"/>
      <c r="M940" s="111"/>
      <c r="P940" s="111"/>
      <c r="S940" s="111"/>
    </row>
    <row r="941" ht="12.75" customHeight="1">
      <c r="C941" s="1"/>
      <c r="D941" s="1"/>
      <c r="E941" s="1"/>
      <c r="J941" s="111"/>
      <c r="M941" s="111"/>
      <c r="P941" s="111"/>
      <c r="S941" s="111"/>
    </row>
    <row r="942" ht="12.75" customHeight="1">
      <c r="C942" s="1"/>
      <c r="D942" s="1"/>
      <c r="E942" s="1"/>
      <c r="J942" s="111"/>
      <c r="M942" s="111"/>
      <c r="P942" s="111"/>
      <c r="S942" s="111"/>
    </row>
    <row r="943" ht="12.75" customHeight="1">
      <c r="C943" s="1"/>
      <c r="D943" s="1"/>
      <c r="E943" s="1"/>
      <c r="J943" s="111"/>
      <c r="M943" s="111"/>
      <c r="P943" s="111"/>
      <c r="S943" s="111"/>
    </row>
    <row r="944" ht="12.75" customHeight="1">
      <c r="C944" s="1"/>
      <c r="D944" s="1"/>
      <c r="E944" s="1"/>
      <c r="J944" s="111"/>
      <c r="M944" s="111"/>
      <c r="P944" s="111"/>
      <c r="S944" s="111"/>
    </row>
    <row r="945" ht="12.75" customHeight="1">
      <c r="C945" s="1"/>
      <c r="D945" s="1"/>
      <c r="E945" s="1"/>
      <c r="J945" s="111"/>
      <c r="M945" s="111"/>
      <c r="P945" s="111"/>
      <c r="S945" s="111"/>
    </row>
    <row r="946" ht="12.75" customHeight="1">
      <c r="C946" s="1"/>
      <c r="D946" s="1"/>
      <c r="E946" s="1"/>
      <c r="J946" s="111"/>
      <c r="M946" s="111"/>
      <c r="P946" s="111"/>
      <c r="S946" s="111"/>
    </row>
    <row r="947" ht="12.75" customHeight="1">
      <c r="C947" s="1"/>
      <c r="D947" s="1"/>
      <c r="E947" s="1"/>
      <c r="J947" s="111"/>
      <c r="M947" s="111"/>
      <c r="P947" s="111"/>
      <c r="S947" s="111"/>
    </row>
    <row r="948" ht="12.75" customHeight="1">
      <c r="C948" s="1"/>
      <c r="D948" s="1"/>
      <c r="E948" s="1"/>
      <c r="J948" s="111"/>
      <c r="M948" s="111"/>
      <c r="P948" s="111"/>
      <c r="S948" s="111"/>
    </row>
    <row r="949" ht="12.75" customHeight="1">
      <c r="C949" s="1"/>
      <c r="D949" s="1"/>
      <c r="E949" s="1"/>
      <c r="J949" s="111"/>
      <c r="M949" s="111"/>
      <c r="P949" s="111"/>
      <c r="S949" s="111"/>
    </row>
    <row r="950" ht="12.75" customHeight="1">
      <c r="C950" s="1"/>
      <c r="D950" s="1"/>
      <c r="E950" s="1"/>
      <c r="J950" s="111"/>
      <c r="M950" s="111"/>
      <c r="P950" s="111"/>
      <c r="S950" s="111"/>
    </row>
    <row r="951" ht="12.75" customHeight="1">
      <c r="C951" s="1"/>
      <c r="D951" s="1"/>
      <c r="E951" s="1"/>
      <c r="J951" s="111"/>
      <c r="M951" s="111"/>
      <c r="P951" s="111"/>
      <c r="S951" s="111"/>
    </row>
    <row r="952" ht="12.75" customHeight="1">
      <c r="C952" s="1"/>
      <c r="D952" s="1"/>
      <c r="E952" s="1"/>
      <c r="J952" s="111"/>
      <c r="M952" s="111"/>
      <c r="P952" s="111"/>
      <c r="S952" s="111"/>
    </row>
    <row r="953" ht="12.75" customHeight="1">
      <c r="C953" s="1"/>
      <c r="D953" s="1"/>
      <c r="E953" s="1"/>
      <c r="J953" s="111"/>
      <c r="M953" s="111"/>
      <c r="P953" s="111"/>
      <c r="S953" s="111"/>
    </row>
    <row r="954" ht="12.75" customHeight="1">
      <c r="C954" s="1"/>
      <c r="D954" s="1"/>
      <c r="E954" s="1"/>
      <c r="J954" s="111"/>
      <c r="M954" s="111"/>
      <c r="P954" s="111"/>
      <c r="S954" s="111"/>
    </row>
    <row r="955" ht="12.75" customHeight="1">
      <c r="C955" s="1"/>
      <c r="D955" s="1"/>
      <c r="E955" s="1"/>
      <c r="J955" s="111"/>
      <c r="M955" s="111"/>
      <c r="P955" s="111"/>
      <c r="S955" s="111"/>
    </row>
    <row r="956" ht="12.75" customHeight="1">
      <c r="C956" s="1"/>
      <c r="D956" s="1"/>
      <c r="E956" s="1"/>
      <c r="J956" s="111"/>
      <c r="M956" s="111"/>
      <c r="P956" s="111"/>
      <c r="S956" s="111"/>
    </row>
    <row r="957" ht="12.75" customHeight="1">
      <c r="C957" s="1"/>
      <c r="D957" s="1"/>
      <c r="E957" s="1"/>
      <c r="J957" s="111"/>
      <c r="M957" s="111"/>
      <c r="P957" s="111"/>
      <c r="S957" s="111"/>
    </row>
    <row r="958" ht="12.75" customHeight="1">
      <c r="C958" s="1"/>
      <c r="D958" s="1"/>
      <c r="E958" s="1"/>
      <c r="J958" s="111"/>
      <c r="M958" s="111"/>
      <c r="P958" s="111"/>
      <c r="S958" s="111"/>
    </row>
    <row r="959" ht="12.75" customHeight="1">
      <c r="C959" s="1"/>
      <c r="D959" s="1"/>
      <c r="E959" s="1"/>
      <c r="J959" s="111"/>
      <c r="M959" s="111"/>
      <c r="P959" s="111"/>
      <c r="S959" s="111"/>
    </row>
    <row r="960" ht="12.75" customHeight="1">
      <c r="C960" s="1"/>
      <c r="D960" s="1"/>
      <c r="E960" s="1"/>
      <c r="J960" s="111"/>
      <c r="M960" s="111"/>
      <c r="P960" s="111"/>
      <c r="S960" s="111"/>
    </row>
    <row r="961" ht="12.75" customHeight="1">
      <c r="C961" s="1"/>
      <c r="D961" s="1"/>
      <c r="E961" s="1"/>
      <c r="J961" s="111"/>
      <c r="M961" s="111"/>
      <c r="P961" s="111"/>
      <c r="S961" s="111"/>
    </row>
    <row r="962" ht="12.75" customHeight="1">
      <c r="C962" s="1"/>
      <c r="D962" s="1"/>
      <c r="E962" s="1"/>
      <c r="J962" s="111"/>
      <c r="M962" s="111"/>
      <c r="P962" s="111"/>
      <c r="S962" s="111"/>
    </row>
    <row r="963" ht="12.75" customHeight="1">
      <c r="C963" s="1"/>
      <c r="D963" s="1"/>
      <c r="E963" s="1"/>
      <c r="J963" s="111"/>
      <c r="M963" s="111"/>
      <c r="P963" s="111"/>
      <c r="S963" s="111"/>
    </row>
    <row r="964" ht="12.75" customHeight="1">
      <c r="C964" s="1"/>
      <c r="D964" s="1"/>
      <c r="E964" s="1"/>
      <c r="J964" s="111"/>
      <c r="M964" s="111"/>
      <c r="P964" s="111"/>
      <c r="S964" s="111"/>
    </row>
    <row r="965" ht="12.75" customHeight="1">
      <c r="C965" s="1"/>
      <c r="D965" s="1"/>
      <c r="E965" s="1"/>
      <c r="J965" s="111"/>
      <c r="M965" s="111"/>
      <c r="P965" s="111"/>
      <c r="S965" s="111"/>
    </row>
    <row r="966" ht="12.75" customHeight="1">
      <c r="C966" s="1"/>
      <c r="D966" s="1"/>
      <c r="E966" s="1"/>
      <c r="J966" s="111"/>
      <c r="M966" s="111"/>
      <c r="P966" s="111"/>
      <c r="S966" s="111"/>
    </row>
    <row r="967" ht="12.75" customHeight="1">
      <c r="C967" s="1"/>
      <c r="D967" s="1"/>
      <c r="E967" s="1"/>
      <c r="J967" s="111"/>
      <c r="M967" s="111"/>
      <c r="P967" s="111"/>
      <c r="S967" s="111"/>
    </row>
    <row r="968" ht="12.75" customHeight="1">
      <c r="C968" s="1"/>
      <c r="D968" s="1"/>
      <c r="E968" s="1"/>
      <c r="J968" s="111"/>
      <c r="M968" s="111"/>
      <c r="P968" s="111"/>
      <c r="S968" s="111"/>
    </row>
    <row r="969" ht="12.75" customHeight="1">
      <c r="C969" s="1"/>
      <c r="D969" s="1"/>
      <c r="E969" s="1"/>
      <c r="J969" s="111"/>
      <c r="M969" s="111"/>
      <c r="P969" s="111"/>
      <c r="S969" s="111"/>
    </row>
    <row r="970" ht="12.75" customHeight="1">
      <c r="C970" s="1"/>
      <c r="D970" s="1"/>
      <c r="E970" s="1"/>
      <c r="J970" s="111"/>
      <c r="M970" s="111"/>
      <c r="P970" s="111"/>
      <c r="S970" s="111"/>
    </row>
    <row r="971" ht="12.75" customHeight="1">
      <c r="C971" s="1"/>
      <c r="D971" s="1"/>
      <c r="E971" s="1"/>
      <c r="J971" s="111"/>
      <c r="M971" s="111"/>
      <c r="P971" s="111"/>
      <c r="S971" s="111"/>
    </row>
    <row r="972" ht="12.75" customHeight="1">
      <c r="C972" s="1"/>
      <c r="D972" s="1"/>
      <c r="E972" s="1"/>
      <c r="J972" s="111"/>
      <c r="M972" s="111"/>
      <c r="P972" s="111"/>
      <c r="S972" s="111"/>
    </row>
    <row r="973" ht="12.75" customHeight="1">
      <c r="C973" s="1"/>
      <c r="D973" s="1"/>
      <c r="E973" s="1"/>
      <c r="J973" s="111"/>
      <c r="M973" s="111"/>
      <c r="P973" s="111"/>
      <c r="S973" s="111"/>
    </row>
    <row r="974" ht="12.75" customHeight="1">
      <c r="C974" s="1"/>
      <c r="D974" s="1"/>
      <c r="E974" s="1"/>
      <c r="J974" s="111"/>
      <c r="M974" s="111"/>
      <c r="P974" s="111"/>
      <c r="S974" s="111"/>
    </row>
    <row r="975" ht="12.75" customHeight="1">
      <c r="C975" s="1"/>
      <c r="D975" s="1"/>
      <c r="E975" s="1"/>
      <c r="J975" s="111"/>
      <c r="M975" s="111"/>
      <c r="P975" s="111"/>
      <c r="S975" s="111"/>
    </row>
    <row r="976" ht="12.75" customHeight="1">
      <c r="C976" s="1"/>
      <c r="D976" s="1"/>
      <c r="E976" s="1"/>
      <c r="J976" s="111"/>
      <c r="M976" s="111"/>
      <c r="P976" s="111"/>
      <c r="S976" s="111"/>
    </row>
    <row r="977" ht="12.75" customHeight="1">
      <c r="C977" s="1"/>
      <c r="D977" s="1"/>
      <c r="E977" s="1"/>
      <c r="J977" s="111"/>
      <c r="M977" s="111"/>
      <c r="P977" s="111"/>
      <c r="S977" s="111"/>
    </row>
    <row r="978" ht="12.75" customHeight="1">
      <c r="C978" s="1"/>
      <c r="D978" s="1"/>
      <c r="E978" s="1"/>
      <c r="J978" s="111"/>
      <c r="M978" s="111"/>
      <c r="P978" s="111"/>
      <c r="S978" s="111"/>
    </row>
    <row r="979" ht="12.75" customHeight="1">
      <c r="C979" s="1"/>
      <c r="D979" s="1"/>
      <c r="E979" s="1"/>
      <c r="J979" s="111"/>
      <c r="M979" s="111"/>
      <c r="P979" s="111"/>
      <c r="S979" s="111"/>
    </row>
    <row r="980" ht="12.75" customHeight="1">
      <c r="C980" s="1"/>
      <c r="D980" s="1"/>
      <c r="E980" s="1"/>
      <c r="J980" s="111"/>
      <c r="M980" s="111"/>
      <c r="P980" s="111"/>
      <c r="S980" s="111"/>
    </row>
    <row r="981" ht="12.75" customHeight="1">
      <c r="C981" s="1"/>
      <c r="D981" s="1"/>
      <c r="E981" s="1"/>
      <c r="J981" s="111"/>
      <c r="M981" s="111"/>
      <c r="P981" s="111"/>
      <c r="S981" s="111"/>
    </row>
    <row r="982" ht="12.75" customHeight="1">
      <c r="C982" s="1"/>
      <c r="D982" s="1"/>
      <c r="E982" s="1"/>
      <c r="J982" s="111"/>
      <c r="M982" s="111"/>
      <c r="P982" s="111"/>
      <c r="S982" s="111"/>
    </row>
    <row r="983" ht="12.75" customHeight="1">
      <c r="C983" s="1"/>
      <c r="D983" s="1"/>
      <c r="E983" s="1"/>
      <c r="J983" s="111"/>
      <c r="M983" s="111"/>
      <c r="P983" s="111"/>
      <c r="S983" s="111"/>
    </row>
    <row r="984" ht="12.75" customHeight="1">
      <c r="C984" s="1"/>
      <c r="D984" s="1"/>
      <c r="E984" s="1"/>
      <c r="J984" s="111"/>
      <c r="M984" s="111"/>
      <c r="P984" s="111"/>
      <c r="S984" s="111"/>
    </row>
    <row r="985" ht="12.75" customHeight="1">
      <c r="C985" s="1"/>
      <c r="D985" s="1"/>
      <c r="E985" s="1"/>
      <c r="J985" s="111"/>
      <c r="M985" s="111"/>
      <c r="P985" s="111"/>
      <c r="S985" s="111"/>
    </row>
    <row r="986" ht="12.75" customHeight="1">
      <c r="C986" s="1"/>
      <c r="D986" s="1"/>
      <c r="E986" s="1"/>
      <c r="J986" s="111"/>
      <c r="M986" s="111"/>
      <c r="P986" s="111"/>
      <c r="S986" s="111"/>
    </row>
    <row r="987" ht="12.75" customHeight="1">
      <c r="C987" s="1"/>
      <c r="D987" s="1"/>
      <c r="E987" s="1"/>
      <c r="J987" s="111"/>
      <c r="M987" s="111"/>
      <c r="P987" s="111"/>
      <c r="S987" s="111"/>
    </row>
    <row r="988" ht="12.75" customHeight="1">
      <c r="C988" s="1"/>
      <c r="D988" s="1"/>
      <c r="E988" s="1"/>
      <c r="J988" s="111"/>
      <c r="M988" s="111"/>
      <c r="P988" s="111"/>
      <c r="S988" s="111"/>
    </row>
    <row r="989" ht="12.75" customHeight="1">
      <c r="C989" s="1"/>
      <c r="D989" s="1"/>
      <c r="E989" s="1"/>
      <c r="J989" s="111"/>
      <c r="M989" s="111"/>
      <c r="P989" s="111"/>
      <c r="S989" s="111"/>
    </row>
    <row r="990" ht="12.75" customHeight="1">
      <c r="C990" s="1"/>
      <c r="D990" s="1"/>
      <c r="E990" s="1"/>
      <c r="J990" s="111"/>
      <c r="M990" s="111"/>
      <c r="P990" s="111"/>
      <c r="S990" s="111"/>
    </row>
    <row r="991" ht="12.75" customHeight="1">
      <c r="C991" s="1"/>
      <c r="D991" s="1"/>
      <c r="E991" s="1"/>
      <c r="J991" s="111"/>
      <c r="M991" s="111"/>
      <c r="P991" s="111"/>
      <c r="S991" s="111"/>
    </row>
    <row r="992" ht="12.75" customHeight="1">
      <c r="C992" s="1"/>
      <c r="D992" s="1"/>
      <c r="E992" s="1"/>
      <c r="J992" s="111"/>
      <c r="M992" s="111"/>
      <c r="P992" s="111"/>
      <c r="S992" s="111"/>
    </row>
    <row r="993" ht="12.75" customHeight="1">
      <c r="C993" s="1"/>
      <c r="D993" s="1"/>
      <c r="E993" s="1"/>
      <c r="J993" s="111"/>
      <c r="M993" s="111"/>
      <c r="P993" s="111"/>
      <c r="S993" s="111"/>
    </row>
    <row r="994" ht="12.75" customHeight="1">
      <c r="C994" s="1"/>
      <c r="D994" s="1"/>
      <c r="E994" s="1"/>
      <c r="J994" s="111"/>
      <c r="M994" s="111"/>
      <c r="P994" s="111"/>
      <c r="S994" s="111"/>
    </row>
    <row r="995" ht="12.75" customHeight="1">
      <c r="C995" s="1"/>
      <c r="D995" s="1"/>
      <c r="E995" s="1"/>
      <c r="J995" s="111"/>
      <c r="M995" s="111"/>
      <c r="P995" s="111"/>
      <c r="S995" s="111"/>
    </row>
    <row r="996" ht="12.75" customHeight="1">
      <c r="C996" s="1"/>
      <c r="D996" s="1"/>
      <c r="E996" s="1"/>
      <c r="J996" s="111"/>
      <c r="M996" s="111"/>
      <c r="P996" s="111"/>
      <c r="S996" s="111"/>
    </row>
    <row r="997" ht="12.75" customHeight="1">
      <c r="C997" s="1"/>
      <c r="D997" s="1"/>
      <c r="E997" s="1"/>
      <c r="J997" s="111"/>
      <c r="M997" s="111"/>
      <c r="P997" s="111"/>
      <c r="S997" s="111"/>
    </row>
    <row r="998" ht="12.75" customHeight="1">
      <c r="C998" s="1"/>
      <c r="D998" s="1"/>
      <c r="E998" s="1"/>
      <c r="J998" s="111"/>
      <c r="M998" s="111"/>
      <c r="P998" s="111"/>
      <c r="S998" s="111"/>
    </row>
    <row r="999" ht="12.75" customHeight="1">
      <c r="C999" s="1"/>
      <c r="D999" s="1"/>
      <c r="E999" s="1"/>
      <c r="J999" s="111"/>
      <c r="M999" s="111"/>
      <c r="P999" s="111"/>
      <c r="S999" s="111"/>
    </row>
  </sheetData>
  <mergeCells count="2">
    <mergeCell ref="C2:D2"/>
    <mergeCell ref="F2:I2"/>
  </mergeCells>
  <conditionalFormatting sqref="C4:C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7.88"/>
    <col customWidth="1" min="3" max="3" width="35.0"/>
    <col customWidth="1" min="4" max="4" width="10.13"/>
    <col customWidth="1" min="5" max="5" width="10.63"/>
    <col customWidth="1" min="6" max="6" width="14.38"/>
    <col customWidth="1" min="7" max="7" width="10.38"/>
    <col customWidth="1" min="8" max="10" width="8.0"/>
    <col customWidth="1" min="11" max="11" width="16.0"/>
    <col customWidth="1" min="12" max="12" width="11.13"/>
    <col customWidth="1" min="13" max="13" width="12.0"/>
    <col customWidth="1" min="14" max="28" width="8.0"/>
  </cols>
  <sheetData>
    <row r="1" ht="12.75" customHeight="1">
      <c r="A1" s="111"/>
      <c r="B1" s="111"/>
      <c r="C1" s="111" t="s">
        <v>444</v>
      </c>
      <c r="D1" s="1"/>
      <c r="E1" s="1"/>
      <c r="F1" s="1"/>
      <c r="G1" s="1"/>
      <c r="H1" s="111"/>
      <c r="I1" s="111"/>
      <c r="J1" s="111"/>
      <c r="K1" s="132" t="s">
        <v>445</v>
      </c>
      <c r="L1" s="44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 ht="12.75" customHeight="1">
      <c r="A2" s="111"/>
      <c r="B2" s="111"/>
      <c r="C2" s="111"/>
      <c r="D2" s="1"/>
      <c r="E2" s="1"/>
      <c r="F2" s="1"/>
      <c r="G2" s="1"/>
      <c r="H2" s="111"/>
      <c r="I2" s="111"/>
      <c r="J2" s="111"/>
      <c r="K2" s="111"/>
      <c r="L2" s="133" t="s">
        <v>446</v>
      </c>
      <c r="M2" s="133" t="s">
        <v>447</v>
      </c>
      <c r="N2" s="134" t="s">
        <v>448</v>
      </c>
      <c r="O2" s="134" t="s">
        <v>449</v>
      </c>
      <c r="P2" s="134" t="s">
        <v>450</v>
      </c>
      <c r="Q2" s="134" t="s">
        <v>109</v>
      </c>
      <c r="R2" s="111"/>
      <c r="S2" s="135" t="s">
        <v>451</v>
      </c>
      <c r="X2" s="111"/>
      <c r="Y2" s="111"/>
      <c r="Z2" s="111"/>
      <c r="AA2" s="111"/>
      <c r="AB2" s="111"/>
    </row>
    <row r="3" ht="12.75" customHeight="1">
      <c r="A3" s="111"/>
      <c r="B3" s="111"/>
      <c r="C3" s="111"/>
      <c r="D3" s="1"/>
      <c r="E3" s="1"/>
      <c r="F3" s="1"/>
      <c r="G3" s="136" t="s">
        <v>452</v>
      </c>
      <c r="H3" s="111"/>
      <c r="I3" s="111"/>
      <c r="J3" s="111"/>
      <c r="K3" s="137" t="s">
        <v>453</v>
      </c>
      <c r="L3" s="138">
        <v>0.85</v>
      </c>
      <c r="M3" s="138">
        <v>0.5</v>
      </c>
      <c r="N3" s="138">
        <v>1.0</v>
      </c>
      <c r="O3" s="138">
        <v>1.44</v>
      </c>
      <c r="P3" s="138">
        <v>2.08</v>
      </c>
      <c r="Q3" s="138">
        <v>7.0</v>
      </c>
      <c r="R3" s="111"/>
      <c r="X3" s="111"/>
      <c r="Y3" s="111"/>
      <c r="Z3" s="111"/>
      <c r="AA3" s="111"/>
      <c r="AB3" s="111"/>
    </row>
    <row r="4" ht="12.75" customHeight="1">
      <c r="A4" s="111"/>
      <c r="B4" s="111"/>
      <c r="C4" s="111"/>
      <c r="D4" s="1"/>
      <c r="E4" s="1"/>
      <c r="F4" s="1"/>
      <c r="G4" s="1"/>
      <c r="H4" s="111"/>
      <c r="I4" s="111"/>
      <c r="J4" s="111"/>
      <c r="K4" s="139" t="s">
        <v>454</v>
      </c>
      <c r="L4" s="46">
        <v>4.2</v>
      </c>
      <c r="M4" s="46">
        <v>1.5</v>
      </c>
      <c r="N4" s="46">
        <v>3.0</v>
      </c>
      <c r="O4" s="138">
        <v>4.32</v>
      </c>
      <c r="P4" s="138">
        <v>6.24</v>
      </c>
      <c r="Q4" s="138">
        <v>7.0</v>
      </c>
      <c r="R4" s="111"/>
      <c r="X4" s="111"/>
      <c r="Y4" s="111"/>
      <c r="Z4" s="111"/>
      <c r="AA4" s="111"/>
      <c r="AB4" s="111"/>
    </row>
    <row r="5" ht="13.5" customHeight="1">
      <c r="A5" s="111"/>
      <c r="B5" s="111"/>
      <c r="C5" s="111"/>
      <c r="D5" s="140"/>
      <c r="E5" s="140"/>
      <c r="F5" s="140"/>
      <c r="G5" s="1"/>
      <c r="H5" s="111"/>
      <c r="I5" s="111"/>
      <c r="J5" s="141"/>
      <c r="K5" s="139" t="s">
        <v>455</v>
      </c>
      <c r="L5" s="46">
        <v>2.0</v>
      </c>
      <c r="M5" s="46"/>
      <c r="N5" s="46"/>
      <c r="O5" s="138"/>
      <c r="P5" s="138"/>
      <c r="Q5" s="138"/>
      <c r="R5" s="135"/>
      <c r="S5" s="135"/>
      <c r="T5" s="135"/>
      <c r="U5" s="135"/>
      <c r="V5" s="135"/>
      <c r="W5" s="135"/>
      <c r="X5" s="111"/>
      <c r="Y5" s="111"/>
      <c r="Z5" s="111"/>
      <c r="AA5" s="111"/>
      <c r="AB5" s="111"/>
    </row>
    <row r="6" ht="13.5" customHeight="1">
      <c r="A6" s="111"/>
      <c r="B6" s="111"/>
      <c r="C6" s="111"/>
      <c r="D6" s="140">
        <f t="shared" ref="D6:F6" si="1">D8/$G$8</f>
        <v>0.4</v>
      </c>
      <c r="E6" s="140">
        <f t="shared" si="1"/>
        <v>0.4</v>
      </c>
      <c r="F6" s="140">
        <f t="shared" si="1"/>
        <v>0.2</v>
      </c>
      <c r="G6" s="1"/>
      <c r="H6" s="111"/>
      <c r="I6" s="111"/>
      <c r="J6" s="141"/>
      <c r="K6" s="137" t="s">
        <v>456</v>
      </c>
      <c r="L6" s="46" t="s">
        <v>457</v>
      </c>
      <c r="M6" s="46">
        <v>3.0</v>
      </c>
      <c r="N6" s="46">
        <v>6.0</v>
      </c>
      <c r="O6" s="138">
        <v>8.64</v>
      </c>
      <c r="P6" s="138">
        <v>12.48</v>
      </c>
      <c r="Q6" s="138">
        <v>23.8</v>
      </c>
      <c r="R6" s="135"/>
      <c r="S6" s="135" t="s">
        <v>458</v>
      </c>
      <c r="X6" s="111"/>
      <c r="Y6" s="111"/>
      <c r="Z6" s="111"/>
      <c r="AA6" s="111"/>
      <c r="AB6" s="111"/>
    </row>
    <row r="7" ht="12.75" customHeight="1">
      <c r="A7" s="111"/>
      <c r="B7" s="142" t="str">
        <f t="shared" ref="B7:B12" si="3">G7</f>
        <v>TOTAL</v>
      </c>
      <c r="C7" s="143" t="s">
        <v>459</v>
      </c>
      <c r="D7" s="144" t="s">
        <v>460</v>
      </c>
      <c r="E7" s="144" t="s">
        <v>461</v>
      </c>
      <c r="F7" s="144" t="s">
        <v>462</v>
      </c>
      <c r="G7" s="145" t="s">
        <v>141</v>
      </c>
      <c r="H7" s="111"/>
      <c r="I7" s="111"/>
      <c r="J7" s="111"/>
      <c r="K7" s="111" t="s">
        <v>463</v>
      </c>
      <c r="L7" s="1">
        <f>(L3*144)+(L4*8)</f>
        <v>156</v>
      </c>
      <c r="M7" s="1">
        <f t="shared" ref="M7:N7" si="2">(M3*16)+(M4*8)+(M6*16)</f>
        <v>68</v>
      </c>
      <c r="N7" s="1">
        <f t="shared" si="2"/>
        <v>136</v>
      </c>
      <c r="O7" s="1">
        <f>(O3*8)+(O4*4)+(O6*8)</f>
        <v>97.92</v>
      </c>
      <c r="P7" s="1">
        <f>(P3*4)+(P4*2)+(P6*4)</f>
        <v>70.72</v>
      </c>
      <c r="Q7" s="116">
        <f>Q3+Q6</f>
        <v>30.8</v>
      </c>
      <c r="R7" s="135">
        <f>sum(L7:Q7)</f>
        <v>559.44</v>
      </c>
      <c r="X7" s="111"/>
      <c r="Y7" s="111"/>
      <c r="Z7" s="111"/>
      <c r="AA7" s="111"/>
      <c r="AB7" s="111"/>
    </row>
    <row r="8" ht="12.75" customHeight="1">
      <c r="A8" s="111"/>
      <c r="B8" s="146">
        <f t="shared" si="3"/>
        <v>15</v>
      </c>
      <c r="C8" s="137" t="s">
        <v>464</v>
      </c>
      <c r="D8" s="9">
        <f t="shared" ref="D8:E8" si="4">$N$6</f>
        <v>6</v>
      </c>
      <c r="E8" s="9">
        <f t="shared" si="4"/>
        <v>6</v>
      </c>
      <c r="F8" s="9">
        <f t="shared" ref="F8:F10" si="6">$N$4</f>
        <v>3</v>
      </c>
      <c r="G8" s="147">
        <f t="shared" ref="G8:G12" si="7">SUM(D8:F8)</f>
        <v>15</v>
      </c>
      <c r="H8" s="111"/>
      <c r="I8" s="111"/>
      <c r="J8" s="111"/>
      <c r="K8" s="136" t="s">
        <v>465</v>
      </c>
      <c r="L8" s="148">
        <f t="shared" ref="L8:Q8" si="5">L7/$R$7</f>
        <v>0.2788502789</v>
      </c>
      <c r="M8" s="148">
        <f t="shared" si="5"/>
        <v>0.1215501216</v>
      </c>
      <c r="N8" s="148">
        <f t="shared" si="5"/>
        <v>0.2431002431</v>
      </c>
      <c r="O8" s="148">
        <f t="shared" si="5"/>
        <v>0.175032175</v>
      </c>
      <c r="P8" s="148">
        <f t="shared" si="5"/>
        <v>0.1264121264</v>
      </c>
      <c r="Q8" s="148">
        <f t="shared" si="5"/>
        <v>0.05505505506</v>
      </c>
      <c r="R8" s="135"/>
      <c r="X8" s="111"/>
      <c r="Y8" s="111"/>
      <c r="Z8" s="111"/>
      <c r="AA8" s="111"/>
      <c r="AB8" s="111"/>
    </row>
    <row r="9" ht="12.75" customHeight="1">
      <c r="A9" s="111"/>
      <c r="B9" s="146">
        <f t="shared" si="3"/>
        <v>10</v>
      </c>
      <c r="C9" s="137" t="s">
        <v>466</v>
      </c>
      <c r="D9" s="9">
        <f t="shared" ref="D9:D11" si="8">$N$6</f>
        <v>6</v>
      </c>
      <c r="E9" s="149">
        <f>$N$3</f>
        <v>1</v>
      </c>
      <c r="F9" s="9">
        <f t="shared" si="6"/>
        <v>3</v>
      </c>
      <c r="G9" s="147">
        <f t="shared" si="7"/>
        <v>10</v>
      </c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 ht="12.75" customHeight="1">
      <c r="A10" s="111"/>
      <c r="B10" s="146">
        <f t="shared" si="3"/>
        <v>9</v>
      </c>
      <c r="C10" s="137" t="s">
        <v>467</v>
      </c>
      <c r="D10" s="9">
        <f t="shared" si="8"/>
        <v>6</v>
      </c>
      <c r="E10" s="9"/>
      <c r="F10" s="9">
        <f t="shared" si="6"/>
        <v>3</v>
      </c>
      <c r="G10" s="147">
        <f t="shared" si="7"/>
        <v>9</v>
      </c>
      <c r="H10" s="111"/>
      <c r="I10" s="111"/>
      <c r="J10" s="111"/>
      <c r="K10" s="7" t="s">
        <v>468</v>
      </c>
      <c r="L10" s="2" t="s">
        <v>469</v>
      </c>
      <c r="M10" s="2" t="s">
        <v>470</v>
      </c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</row>
    <row r="11" ht="12.75" customHeight="1">
      <c r="A11" s="111"/>
      <c r="B11" s="146">
        <f t="shared" si="3"/>
        <v>6</v>
      </c>
      <c r="C11" s="137" t="s">
        <v>471</v>
      </c>
      <c r="D11" s="9">
        <f t="shared" si="8"/>
        <v>6</v>
      </c>
      <c r="E11" s="9"/>
      <c r="F11" s="9"/>
      <c r="G11" s="147">
        <f t="shared" si="7"/>
        <v>6</v>
      </c>
      <c r="H11" s="111"/>
      <c r="I11" s="111"/>
      <c r="J11" s="111"/>
      <c r="K11" s="137" t="s">
        <v>472</v>
      </c>
      <c r="L11" s="137">
        <f>(L4*8)+(L5*8)</f>
        <v>49.6</v>
      </c>
      <c r="M11" s="150">
        <f t="shared" ref="M11:M17" si="10">L11/$L$18</f>
        <v>0.08619491172</v>
      </c>
      <c r="N11" s="151">
        <f>M11+M12+M13</f>
        <v>0.4170721535</v>
      </c>
      <c r="O11" s="14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</row>
    <row r="12" ht="12.75" customHeight="1">
      <c r="A12" s="111"/>
      <c r="B12" s="152">
        <f t="shared" si="3"/>
        <v>5</v>
      </c>
      <c r="C12" s="137" t="s">
        <v>473</v>
      </c>
      <c r="D12" s="149">
        <f t="shared" ref="D12:E12" si="9">$N$3</f>
        <v>1</v>
      </c>
      <c r="E12" s="149">
        <f t="shared" si="9"/>
        <v>1</v>
      </c>
      <c r="F12" s="9">
        <f>$N$4</f>
        <v>3</v>
      </c>
      <c r="G12" s="153">
        <f t="shared" si="7"/>
        <v>5</v>
      </c>
      <c r="H12" s="111"/>
      <c r="I12" s="111"/>
      <c r="J12" s="111"/>
      <c r="K12" s="137" t="s">
        <v>474</v>
      </c>
      <c r="L12" s="137">
        <f>L3*144</f>
        <v>122.4</v>
      </c>
      <c r="M12" s="150">
        <f t="shared" si="10"/>
        <v>0.2127067983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</row>
    <row r="13" ht="12.75" customHeight="1">
      <c r="A13" s="111"/>
      <c r="B13" s="146"/>
      <c r="C13" s="137"/>
      <c r="D13" s="9"/>
      <c r="E13" s="9"/>
      <c r="F13" s="9"/>
      <c r="G13" s="147"/>
      <c r="H13" s="111"/>
      <c r="I13" s="111"/>
      <c r="J13" s="111"/>
      <c r="K13" s="139" t="s">
        <v>475</v>
      </c>
      <c r="L13" s="154">
        <f>M7</f>
        <v>68</v>
      </c>
      <c r="M13" s="150">
        <f t="shared" si="10"/>
        <v>0.1181704435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</row>
    <row r="14" ht="12.75" customHeight="1">
      <c r="A14" s="111"/>
      <c r="B14" s="152">
        <f>G14</f>
        <v>4</v>
      </c>
      <c r="C14" s="137" t="s">
        <v>476</v>
      </c>
      <c r="D14" s="149">
        <f>$N$3</f>
        <v>1</v>
      </c>
      <c r="E14" s="9"/>
      <c r="F14" s="9">
        <f>$N$4</f>
        <v>3</v>
      </c>
      <c r="G14" s="153">
        <f>SUM(D14:F14)</f>
        <v>4</v>
      </c>
      <c r="H14" s="111"/>
      <c r="I14" s="111"/>
      <c r="J14" s="111"/>
      <c r="K14" s="139" t="s">
        <v>448</v>
      </c>
      <c r="L14" s="155">
        <f>N7</f>
        <v>136</v>
      </c>
      <c r="M14" s="150">
        <f t="shared" si="10"/>
        <v>0.236340887</v>
      </c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</row>
    <row r="15" ht="12.75" customHeight="1">
      <c r="A15" s="111"/>
      <c r="B15" s="146"/>
      <c r="C15" s="137"/>
      <c r="D15" s="9"/>
      <c r="E15" s="9"/>
      <c r="F15" s="9"/>
      <c r="G15" s="147"/>
      <c r="H15" s="111"/>
      <c r="I15" s="111"/>
      <c r="J15" s="111"/>
      <c r="K15" s="137" t="s">
        <v>449</v>
      </c>
      <c r="L15" s="137">
        <f>O7</f>
        <v>97.92</v>
      </c>
      <c r="M15" s="150">
        <f t="shared" si="10"/>
        <v>0.1701654386</v>
      </c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</row>
    <row r="16" ht="12.75" customHeight="1">
      <c r="A16" s="111"/>
      <c r="B16" s="146"/>
      <c r="C16" s="137"/>
      <c r="D16" s="9"/>
      <c r="E16" s="9"/>
      <c r="F16" s="9"/>
      <c r="G16" s="147"/>
      <c r="H16" s="111"/>
      <c r="I16" s="111"/>
      <c r="J16" s="111"/>
      <c r="K16" s="137" t="s">
        <v>450</v>
      </c>
      <c r="L16" s="137">
        <f>P7</f>
        <v>70.72</v>
      </c>
      <c r="M16" s="150">
        <f t="shared" si="10"/>
        <v>0.1228972612</v>
      </c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</row>
    <row r="17" ht="12.75" customHeight="1">
      <c r="A17" s="111"/>
      <c r="B17" s="146">
        <f>G17</f>
        <v>3</v>
      </c>
      <c r="C17" s="137" t="s">
        <v>462</v>
      </c>
      <c r="D17" s="9"/>
      <c r="E17" s="9"/>
      <c r="F17" s="9">
        <f>$N$4</f>
        <v>3</v>
      </c>
      <c r="G17" s="147">
        <f>SUM(D17:F17)</f>
        <v>3</v>
      </c>
      <c r="H17" s="111"/>
      <c r="I17" s="111"/>
      <c r="J17" s="111"/>
      <c r="K17" s="137" t="s">
        <v>109</v>
      </c>
      <c r="L17" s="156">
        <f>Q7</f>
        <v>30.8</v>
      </c>
      <c r="M17" s="150">
        <f t="shared" si="10"/>
        <v>0.0535242597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</row>
    <row r="18" ht="12.75" customHeight="1">
      <c r="A18" s="111"/>
      <c r="B18" s="146"/>
      <c r="C18" s="137"/>
      <c r="D18" s="9"/>
      <c r="E18" s="9"/>
      <c r="F18" s="9"/>
      <c r="G18" s="147"/>
      <c r="H18" s="111"/>
      <c r="I18" s="111"/>
      <c r="J18" s="111"/>
      <c r="K18" s="137" t="s">
        <v>141</v>
      </c>
      <c r="L18" s="137">
        <f t="shared" ref="L18:M18" si="11">SUM(L11:L17)</f>
        <v>575.44</v>
      </c>
      <c r="M18" s="157">
        <f t="shared" si="11"/>
        <v>1</v>
      </c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</row>
    <row r="19" ht="12.75" customHeight="1">
      <c r="A19" s="111"/>
      <c r="B19" s="152">
        <f>G19</f>
        <v>2</v>
      </c>
      <c r="C19" s="137" t="s">
        <v>477</v>
      </c>
      <c r="D19" s="149">
        <f t="shared" ref="D19:E19" si="12">$N$3</f>
        <v>1</v>
      </c>
      <c r="E19" s="149">
        <f t="shared" si="12"/>
        <v>1</v>
      </c>
      <c r="F19" s="9"/>
      <c r="G19" s="153">
        <f>SUM(D19:F19)</f>
        <v>2</v>
      </c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</row>
    <row r="20" ht="12.75" customHeight="1">
      <c r="A20" s="111"/>
      <c r="B20" s="158"/>
      <c r="C20" s="159"/>
      <c r="D20" s="74"/>
      <c r="E20" s="74"/>
      <c r="F20" s="74"/>
      <c r="G20" s="160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</row>
    <row r="21" ht="12.75" customHeight="1">
      <c r="A21" s="111"/>
      <c r="B21" s="161">
        <f>G21</f>
        <v>1</v>
      </c>
      <c r="C21" s="162" t="s">
        <v>478</v>
      </c>
      <c r="D21" s="163">
        <f>$N$3</f>
        <v>1</v>
      </c>
      <c r="E21" s="164"/>
      <c r="F21" s="164"/>
      <c r="G21" s="165">
        <f>SUM(D21:F21)</f>
        <v>1</v>
      </c>
      <c r="H21" s="111"/>
      <c r="I21" s="111"/>
      <c r="J21" s="166"/>
      <c r="K21" s="167" t="s">
        <v>479</v>
      </c>
      <c r="L21" s="166" t="s">
        <v>448</v>
      </c>
      <c r="M21" s="166" t="s">
        <v>449</v>
      </c>
      <c r="N21" s="166" t="s">
        <v>450</v>
      </c>
      <c r="O21" s="166" t="s">
        <v>109</v>
      </c>
      <c r="P21" s="166" t="s">
        <v>463</v>
      </c>
      <c r="Q21" s="166"/>
      <c r="R21" s="111"/>
      <c r="S21" s="111"/>
      <c r="T21" s="111"/>
      <c r="U21" s="111"/>
      <c r="V21" s="111"/>
      <c r="W21" s="111"/>
      <c r="X21" s="111"/>
      <c r="Y21" s="111"/>
      <c r="Z21" s="111"/>
      <c r="AA21" s="111"/>
    </row>
    <row r="22" ht="12.75" customHeight="1">
      <c r="A22" s="111"/>
      <c r="B22" s="111"/>
      <c r="C22" s="111"/>
      <c r="D22" s="1"/>
      <c r="E22" s="1"/>
      <c r="F22" s="1"/>
      <c r="G22" s="1"/>
      <c r="H22" s="111"/>
      <c r="I22" s="111"/>
      <c r="J22" s="166" t="s">
        <v>142</v>
      </c>
      <c r="K22" s="168">
        <v>2.0</v>
      </c>
      <c r="L22" s="168">
        <v>4.0</v>
      </c>
      <c r="M22" s="168">
        <v>6.0</v>
      </c>
      <c r="N22" s="168">
        <v>8.0</v>
      </c>
      <c r="O22" s="168">
        <v>10.0</v>
      </c>
      <c r="P22" s="168">
        <f>SUM(K22:O22)</f>
        <v>30</v>
      </c>
      <c r="Q22" s="166"/>
      <c r="R22" s="111"/>
      <c r="S22" s="111"/>
      <c r="T22" s="111"/>
      <c r="U22" s="111"/>
      <c r="V22" s="111"/>
      <c r="W22" s="111"/>
      <c r="X22" s="111"/>
      <c r="Y22" s="111"/>
      <c r="Z22" s="111"/>
      <c r="AA22" s="111"/>
    </row>
    <row r="23" ht="12.75" customHeight="1">
      <c r="A23" s="111"/>
      <c r="B23" s="111"/>
      <c r="C23" s="111"/>
      <c r="D23" s="1"/>
      <c r="E23" s="1"/>
      <c r="F23" s="1"/>
      <c r="G23" s="1"/>
      <c r="H23" s="111"/>
      <c r="I23" s="111"/>
      <c r="J23" s="166"/>
      <c r="K23" s="166"/>
      <c r="L23" s="166"/>
      <c r="M23" s="166"/>
      <c r="N23" s="166"/>
      <c r="O23" s="166"/>
      <c r="P23" s="166"/>
      <c r="Q23" s="166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 ht="12.75" customHeight="1">
      <c r="A24" s="111"/>
      <c r="B24" s="111"/>
      <c r="C24" s="111"/>
      <c r="D24" s="1"/>
      <c r="E24" s="1"/>
      <c r="F24" s="1"/>
      <c r="G24" s="1"/>
      <c r="H24" s="111"/>
      <c r="I24" s="111"/>
      <c r="J24" s="166"/>
      <c r="K24" s="166" t="s">
        <v>144</v>
      </c>
      <c r="L24" s="166"/>
      <c r="M24" s="166"/>
      <c r="N24" s="166"/>
      <c r="O24" s="166"/>
      <c r="P24" s="168">
        <v>15.0</v>
      </c>
      <c r="Q24" s="166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 ht="12.75" customHeight="1">
      <c r="A25" s="111"/>
      <c r="B25" s="111"/>
      <c r="C25" s="111"/>
      <c r="D25" s="1"/>
      <c r="E25" s="1"/>
      <c r="F25" s="1"/>
      <c r="G25" s="1"/>
      <c r="H25" s="111"/>
      <c r="I25" s="111"/>
      <c r="J25" s="166"/>
      <c r="K25" s="167" t="s">
        <v>145</v>
      </c>
      <c r="L25" s="166"/>
      <c r="M25" s="166"/>
      <c r="N25" s="166"/>
      <c r="O25" s="166"/>
      <c r="P25" s="168">
        <v>15.0</v>
      </c>
      <c r="Q25" s="168">
        <f>L18+P22+P24+P25</f>
        <v>635.44</v>
      </c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 ht="12.75" customHeight="1">
      <c r="A26" s="111"/>
      <c r="B26" s="111"/>
      <c r="C26" s="111"/>
      <c r="D26" s="1"/>
      <c r="E26" s="1"/>
      <c r="F26" s="1"/>
      <c r="G26" s="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 ht="12.75" customHeight="1">
      <c r="A27" s="111"/>
      <c r="B27" s="111"/>
      <c r="C27" s="111"/>
      <c r="D27" s="1"/>
      <c r="E27" s="1"/>
      <c r="F27" s="1"/>
      <c r="G27" s="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 ht="12.75" customHeight="1">
      <c r="A28" s="111"/>
      <c r="B28" s="169" t="s">
        <v>480</v>
      </c>
      <c r="C28" s="111"/>
      <c r="D28" s="1"/>
      <c r="E28" s="1"/>
      <c r="F28" s="1"/>
      <c r="G28" s="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 ht="12.75" customHeight="1">
      <c r="A29" s="111"/>
      <c r="B29" s="139" t="s">
        <v>40</v>
      </c>
      <c r="C29" s="111"/>
      <c r="D29" s="1"/>
      <c r="E29" s="1"/>
      <c r="F29" s="1"/>
      <c r="G29" s="1"/>
      <c r="H29" s="111"/>
      <c r="I29" s="111"/>
      <c r="J29" s="111"/>
      <c r="K29" s="111"/>
      <c r="L29" s="111"/>
      <c r="M29" s="111"/>
      <c r="N29" s="111"/>
      <c r="O29" s="111"/>
      <c r="P29" s="111"/>
      <c r="Q29" s="136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 ht="12.75" customHeight="1">
      <c r="A30" s="111"/>
      <c r="B30" s="139" t="s">
        <v>52</v>
      </c>
      <c r="C30" s="111"/>
      <c r="D30" s="1"/>
      <c r="E30" s="1"/>
      <c r="F30" s="1"/>
      <c r="G30" s="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 ht="12.75" customHeight="1">
      <c r="A31" s="111"/>
      <c r="B31" s="139" t="s">
        <v>45</v>
      </c>
      <c r="C31" s="111"/>
      <c r="D31" s="1"/>
      <c r="E31" s="1"/>
      <c r="F31" s="1"/>
      <c r="G31" s="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 ht="12.75" customHeight="1">
      <c r="A32" s="111"/>
      <c r="B32" s="139" t="s">
        <v>49</v>
      </c>
      <c r="C32" s="111"/>
      <c r="D32" s="1"/>
      <c r="E32" s="1"/>
      <c r="F32" s="1"/>
      <c r="G32" s="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 ht="12.75" customHeight="1">
      <c r="A33" s="111"/>
      <c r="B33" s="139" t="s">
        <v>46</v>
      </c>
      <c r="C33" s="111"/>
      <c r="D33" s="1"/>
      <c r="E33" s="1"/>
      <c r="F33" s="1"/>
      <c r="G33" s="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 ht="12.75" customHeight="1">
      <c r="A34" s="111"/>
      <c r="B34" s="139" t="s">
        <v>55</v>
      </c>
      <c r="C34" s="111"/>
      <c r="D34" s="1"/>
      <c r="E34" s="1"/>
      <c r="F34" s="1"/>
      <c r="G34" s="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 ht="12.75" customHeight="1">
      <c r="A35" s="111"/>
      <c r="B35" s="139" t="s">
        <v>44</v>
      </c>
      <c r="C35" s="111"/>
      <c r="D35" s="1"/>
      <c r="E35" s="1"/>
      <c r="F35" s="1"/>
      <c r="G35" s="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 ht="12.75" customHeight="1">
      <c r="A36" s="111"/>
      <c r="B36" s="111"/>
      <c r="C36" s="111"/>
      <c r="D36" s="1"/>
      <c r="E36" s="1"/>
      <c r="F36" s="1"/>
      <c r="G36" s="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 ht="12.75" customHeight="1">
      <c r="A37" s="111"/>
      <c r="B37" s="111"/>
      <c r="C37" s="111"/>
      <c r="D37" s="1"/>
      <c r="E37" s="1"/>
      <c r="F37" s="1"/>
      <c r="G37" s="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 ht="12.75" customHeight="1">
      <c r="A38" s="111"/>
      <c r="B38" s="111"/>
      <c r="C38" s="111"/>
      <c r="D38" s="1"/>
      <c r="E38" s="1"/>
      <c r="F38" s="1"/>
      <c r="G38" s="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 ht="12.75" customHeight="1">
      <c r="A39" s="111"/>
      <c r="B39" s="111"/>
      <c r="C39" s="111"/>
      <c r="D39" s="1"/>
      <c r="E39" s="1"/>
      <c r="F39" s="1"/>
      <c r="G39" s="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 ht="12.75" customHeight="1">
      <c r="A40" s="111"/>
      <c r="B40" s="111"/>
      <c r="C40" s="111"/>
      <c r="D40" s="1"/>
      <c r="E40" s="1"/>
      <c r="F40" s="1"/>
      <c r="G40" s="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 ht="12.75" customHeight="1">
      <c r="A41" s="111"/>
      <c r="B41" s="111"/>
      <c r="C41" s="111"/>
      <c r="D41" s="1"/>
      <c r="E41" s="1"/>
      <c r="F41" s="1"/>
      <c r="G41" s="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 ht="12.75" customHeight="1">
      <c r="A42" s="111"/>
      <c r="B42" s="111"/>
      <c r="C42" s="111"/>
      <c r="D42" s="1"/>
      <c r="E42" s="1"/>
      <c r="F42" s="1"/>
      <c r="G42" s="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 ht="12.75" customHeight="1">
      <c r="A43" s="111"/>
      <c r="B43" s="111"/>
      <c r="C43" s="111"/>
      <c r="D43" s="1"/>
      <c r="E43" s="1"/>
      <c r="F43" s="1"/>
      <c r="G43" s="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 ht="12.75" customHeight="1">
      <c r="A44" s="111"/>
      <c r="B44" s="111"/>
      <c r="C44" s="111"/>
      <c r="D44" s="1"/>
      <c r="E44" s="1"/>
      <c r="F44" s="1"/>
      <c r="G44" s="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 ht="12.75" customHeight="1">
      <c r="A45" s="111"/>
      <c r="B45" s="111"/>
      <c r="C45" s="111"/>
      <c r="D45" s="1"/>
      <c r="E45" s="1"/>
      <c r="F45" s="1"/>
      <c r="G45" s="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 ht="12.75" customHeight="1">
      <c r="A46" s="111"/>
      <c r="B46" s="111"/>
      <c r="C46" s="170"/>
      <c r="D46" s="170"/>
      <c r="E46" s="1"/>
      <c r="F46" s="1"/>
      <c r="G46" s="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 ht="12.75" customHeight="1">
      <c r="A47" s="111"/>
      <c r="B47" s="111"/>
      <c r="C47" s="171"/>
      <c r="D47" s="170"/>
      <c r="E47" s="172"/>
      <c r="F47" s="1"/>
      <c r="G47" s="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 ht="12.75" customHeight="1">
      <c r="A48" s="111"/>
      <c r="B48" s="111"/>
      <c r="C48" s="171"/>
      <c r="D48" s="170"/>
      <c r="E48" s="172"/>
      <c r="F48" s="1"/>
      <c r="G48" s="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 ht="12.75" customHeight="1">
      <c r="A49" s="111"/>
      <c r="B49" s="111"/>
      <c r="C49" s="171"/>
      <c r="D49" s="170"/>
      <c r="E49" s="172"/>
      <c r="F49" s="1"/>
      <c r="G49" s="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 ht="12.75" customHeight="1">
      <c r="A50" s="111"/>
      <c r="B50" s="111"/>
      <c r="C50" s="171"/>
      <c r="D50" s="170"/>
      <c r="E50" s="172"/>
      <c r="F50" s="1"/>
      <c r="G50" s="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 ht="12.75" customHeight="1">
      <c r="A51" s="111"/>
      <c r="B51" s="111"/>
      <c r="C51" s="171"/>
      <c r="D51" s="173"/>
      <c r="E51" s="172"/>
      <c r="F51" s="1"/>
      <c r="G51" s="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 ht="12.75" customHeight="1">
      <c r="A52" s="111"/>
      <c r="B52" s="111"/>
      <c r="C52" s="171"/>
      <c r="D52" s="170"/>
      <c r="E52" s="172"/>
      <c r="F52" s="1"/>
      <c r="G52" s="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 ht="12.75" customHeight="1">
      <c r="A53" s="111"/>
      <c r="B53" s="111"/>
      <c r="C53" s="171"/>
      <c r="D53" s="170"/>
      <c r="E53" s="172"/>
      <c r="F53" s="1"/>
      <c r="G53" s="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 ht="12.75" customHeight="1">
      <c r="A54" s="111"/>
      <c r="B54" s="111"/>
      <c r="C54" s="174"/>
      <c r="D54" s="170"/>
      <c r="E54" s="172"/>
      <c r="F54" s="1"/>
      <c r="G54" s="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 ht="12.75" customHeight="1">
      <c r="A55" s="111"/>
      <c r="B55" s="111"/>
      <c r="C55" s="174"/>
      <c r="D55" s="170"/>
      <c r="E55" s="172"/>
      <c r="F55" s="1"/>
      <c r="G55" s="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 ht="12.75" customHeight="1">
      <c r="A56" s="111"/>
      <c r="B56" s="111"/>
      <c r="C56" s="174"/>
      <c r="D56" s="170"/>
      <c r="E56" s="172"/>
      <c r="F56" s="1"/>
      <c r="G56" s="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 ht="12.75" customHeight="1">
      <c r="A57" s="111"/>
      <c r="B57" s="111"/>
      <c r="C57" s="174"/>
      <c r="D57" s="170"/>
      <c r="E57" s="172"/>
      <c r="F57" s="1"/>
      <c r="G57" s="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ht="12.75" customHeight="1">
      <c r="A58" s="111"/>
      <c r="B58" s="111"/>
      <c r="C58" s="174"/>
      <c r="D58" s="173"/>
      <c r="E58" s="172"/>
      <c r="F58" s="1"/>
      <c r="G58" s="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 ht="12.75" customHeight="1">
      <c r="A59" s="111"/>
      <c r="B59" s="111"/>
      <c r="C59" s="174"/>
      <c r="D59" s="170"/>
      <c r="E59" s="172"/>
      <c r="F59" s="1"/>
      <c r="G59" s="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 ht="12.75" customHeight="1">
      <c r="A60" s="111"/>
      <c r="B60" s="111"/>
      <c r="C60" s="174"/>
      <c r="D60" s="170"/>
      <c r="E60" s="172"/>
      <c r="F60" s="1"/>
      <c r="G60" s="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 ht="12.75" customHeight="1">
      <c r="A61" s="111"/>
      <c r="B61" s="111"/>
      <c r="C61" s="174"/>
      <c r="D61" s="170"/>
      <c r="E61" s="172"/>
      <c r="F61" s="1"/>
      <c r="G61" s="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 ht="12.75" customHeight="1">
      <c r="A62" s="111"/>
      <c r="B62" s="111"/>
      <c r="C62" s="174"/>
      <c r="D62" s="173"/>
      <c r="E62" s="172"/>
      <c r="F62" s="1"/>
      <c r="G62" s="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 ht="12.75" customHeight="1">
      <c r="A63" s="111"/>
      <c r="B63" s="111"/>
      <c r="C63" s="174"/>
      <c r="D63" s="170"/>
      <c r="E63" s="172"/>
      <c r="F63" s="1"/>
      <c r="G63" s="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 ht="12.75" customHeight="1">
      <c r="A64" s="111"/>
      <c r="B64" s="111"/>
      <c r="C64" s="174"/>
      <c r="D64" s="173"/>
      <c r="E64" s="172"/>
      <c r="F64" s="1"/>
      <c r="G64" s="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 ht="12.75" customHeight="1">
      <c r="A65" s="111"/>
      <c r="B65" s="111"/>
      <c r="C65" s="174"/>
      <c r="D65" s="170"/>
      <c r="E65" s="172"/>
      <c r="F65" s="1"/>
      <c r="G65" s="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 ht="12.75" customHeight="1">
      <c r="A66" s="111"/>
      <c r="B66" s="111"/>
      <c r="C66" s="174"/>
      <c r="D66" s="170"/>
      <c r="E66" s="172"/>
      <c r="F66" s="1"/>
      <c r="G66" s="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 ht="12.75" customHeight="1">
      <c r="A67" s="111"/>
      <c r="B67" s="111"/>
      <c r="C67" s="174"/>
      <c r="D67" s="173"/>
      <c r="E67" s="172"/>
      <c r="F67" s="1"/>
      <c r="G67" s="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 ht="12.75" customHeight="1">
      <c r="A68" s="111"/>
      <c r="B68" s="111"/>
      <c r="C68" s="174"/>
      <c r="D68" s="170"/>
      <c r="E68" s="172"/>
      <c r="F68" s="1"/>
      <c r="G68" s="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 ht="12.75" customHeight="1">
      <c r="A69" s="111"/>
      <c r="B69" s="111"/>
      <c r="C69" s="174"/>
      <c r="D69" s="170"/>
      <c r="E69" s="172"/>
      <c r="F69" s="1"/>
      <c r="G69" s="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 ht="12.75" customHeight="1">
      <c r="A70" s="111"/>
      <c r="B70" s="111"/>
      <c r="C70" s="175"/>
      <c r="D70" s="173"/>
      <c r="E70" s="172"/>
      <c r="F70" s="1"/>
      <c r="G70" s="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 ht="12.75" customHeight="1">
      <c r="A71" s="111"/>
      <c r="B71" s="111"/>
      <c r="C71" s="175"/>
      <c r="D71" s="170"/>
      <c r="E71" s="172"/>
      <c r="F71" s="1"/>
      <c r="G71" s="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 ht="12.75" customHeight="1">
      <c r="A72" s="111"/>
      <c r="B72" s="111"/>
      <c r="C72" s="175"/>
      <c r="D72" s="170"/>
      <c r="E72" s="172"/>
      <c r="F72" s="1"/>
      <c r="G72" s="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 ht="12.75" customHeight="1">
      <c r="A73" s="111"/>
      <c r="B73" s="111"/>
      <c r="C73" s="175"/>
      <c r="D73" s="170"/>
      <c r="E73" s="172"/>
      <c r="F73" s="1"/>
      <c r="G73" s="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 ht="12.75" customHeight="1">
      <c r="A74" s="111"/>
      <c r="B74" s="111"/>
      <c r="C74" s="175"/>
      <c r="D74" s="170"/>
      <c r="E74" s="172"/>
      <c r="F74" s="1"/>
      <c r="G74" s="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 ht="12.75" customHeight="1">
      <c r="A75" s="111"/>
      <c r="B75" s="111"/>
      <c r="C75" s="175"/>
      <c r="D75" s="170"/>
      <c r="E75" s="172"/>
      <c r="F75" s="1"/>
      <c r="G75" s="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 ht="12.75" customHeight="1">
      <c r="A76" s="111"/>
      <c r="B76" s="111"/>
      <c r="C76" s="175"/>
      <c r="D76" s="170"/>
      <c r="E76" s="172"/>
      <c r="F76" s="1"/>
      <c r="G76" s="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 ht="12.75" customHeight="1">
      <c r="A77" s="111"/>
      <c r="B77" s="111"/>
      <c r="C77" s="175"/>
      <c r="D77" s="170"/>
      <c r="E77" s="172"/>
      <c r="F77" s="1"/>
      <c r="G77" s="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 ht="12.75" customHeight="1">
      <c r="A78" s="111"/>
      <c r="B78" s="111"/>
      <c r="C78" s="175"/>
      <c r="D78" s="170"/>
      <c r="E78" s="172"/>
      <c r="F78" s="1"/>
      <c r="G78" s="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 ht="12.75" customHeight="1">
      <c r="A79" s="111"/>
      <c r="B79" s="111"/>
      <c r="C79" s="175"/>
      <c r="D79" s="170"/>
      <c r="E79" s="172"/>
      <c r="F79" s="1"/>
      <c r="G79" s="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 ht="12.75" customHeight="1">
      <c r="A80" s="111"/>
      <c r="B80" s="111"/>
      <c r="C80" s="175"/>
      <c r="D80" s="170"/>
      <c r="E80" s="172"/>
      <c r="F80" s="1"/>
      <c r="G80" s="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 ht="12.75" customHeight="1">
      <c r="A81" s="111"/>
      <c r="B81" s="111"/>
      <c r="C81" s="175"/>
      <c r="D81" s="170"/>
      <c r="E81" s="1"/>
      <c r="F81" s="1"/>
      <c r="G81" s="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 ht="12.75" customHeight="1">
      <c r="A82" s="111"/>
      <c r="B82" s="111"/>
      <c r="C82" s="111"/>
      <c r="D82" s="1"/>
      <c r="E82" s="1"/>
      <c r="F82" s="1"/>
      <c r="G82" s="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 ht="12.75" customHeight="1">
      <c r="A83" s="111"/>
      <c r="B83" s="111"/>
      <c r="C83" s="111"/>
      <c r="D83" s="1"/>
      <c r="E83" s="1"/>
      <c r="F83" s="1"/>
      <c r="G83" s="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 ht="12.75" customHeight="1">
      <c r="A84" s="111"/>
      <c r="B84" s="111"/>
      <c r="C84" s="111"/>
      <c r="D84" s="1"/>
      <c r="E84" s="1"/>
      <c r="F84" s="1"/>
      <c r="G84" s="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 ht="12.75" customHeight="1">
      <c r="A85" s="111"/>
      <c r="B85" s="111"/>
      <c r="C85" s="111"/>
      <c r="D85" s="1"/>
      <c r="E85" s="1"/>
      <c r="F85" s="1"/>
      <c r="G85" s="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 ht="12.75" customHeight="1">
      <c r="A86" s="111"/>
      <c r="B86" s="111"/>
      <c r="C86" s="111"/>
      <c r="D86" s="1"/>
      <c r="E86" s="1"/>
      <c r="F86" s="1"/>
      <c r="G86" s="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 ht="12.75" customHeight="1">
      <c r="A87" s="111"/>
      <c r="B87" s="111"/>
      <c r="C87" s="111"/>
      <c r="D87" s="1"/>
      <c r="E87" s="1"/>
      <c r="F87" s="1"/>
      <c r="G87" s="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 ht="12.75" customHeight="1">
      <c r="A88" s="111"/>
      <c r="B88" s="111"/>
      <c r="C88" s="111"/>
      <c r="D88" s="1"/>
      <c r="E88" s="1"/>
      <c r="F88" s="1"/>
      <c r="G88" s="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 ht="12.75" customHeight="1">
      <c r="A89" s="111"/>
      <c r="B89" s="111"/>
      <c r="C89" s="111"/>
      <c r="D89" s="1"/>
      <c r="E89" s="1"/>
      <c r="F89" s="1"/>
      <c r="G89" s="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 ht="12.75" customHeight="1">
      <c r="A90" s="111"/>
      <c r="B90" s="111"/>
      <c r="C90" s="111"/>
      <c r="D90" s="1"/>
      <c r="E90" s="1"/>
      <c r="F90" s="1"/>
      <c r="G90" s="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 ht="12.75" customHeight="1">
      <c r="A91" s="111"/>
      <c r="B91" s="111"/>
      <c r="C91" s="111"/>
      <c r="D91" s="1"/>
      <c r="E91" s="1"/>
      <c r="F91" s="1"/>
      <c r="G91" s="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 ht="12.75" customHeight="1">
      <c r="A92" s="111"/>
      <c r="B92" s="111"/>
      <c r="C92" s="111"/>
      <c r="D92" s="1"/>
      <c r="E92" s="1"/>
      <c r="F92" s="1"/>
      <c r="G92" s="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 ht="12.75" customHeight="1">
      <c r="A93" s="111"/>
      <c r="B93" s="111"/>
      <c r="C93" s="111"/>
      <c r="D93" s="1"/>
      <c r="E93" s="1"/>
      <c r="F93" s="1"/>
      <c r="G93" s="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 ht="12.75" customHeight="1">
      <c r="A94" s="111"/>
      <c r="B94" s="111"/>
      <c r="C94" s="111"/>
      <c r="D94" s="1"/>
      <c r="E94" s="1"/>
      <c r="F94" s="1"/>
      <c r="G94" s="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 ht="12.75" customHeight="1">
      <c r="A95" s="111"/>
      <c r="B95" s="111"/>
      <c r="C95" s="111"/>
      <c r="D95" s="1"/>
      <c r="E95" s="1"/>
      <c r="F95" s="1"/>
      <c r="G95" s="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 ht="12.75" customHeight="1">
      <c r="A96" s="111"/>
      <c r="B96" s="111"/>
      <c r="C96" s="111"/>
      <c r="D96" s="1"/>
      <c r="E96" s="1"/>
      <c r="F96" s="1"/>
      <c r="G96" s="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 ht="12.75" customHeight="1">
      <c r="A97" s="111"/>
      <c r="B97" s="111"/>
      <c r="C97" s="111"/>
      <c r="D97" s="1"/>
      <c r="E97" s="1"/>
      <c r="F97" s="1"/>
      <c r="G97" s="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 ht="12.75" customHeight="1">
      <c r="A98" s="111"/>
      <c r="B98" s="111"/>
      <c r="C98" s="111"/>
      <c r="D98" s="1"/>
      <c r="E98" s="1"/>
      <c r="F98" s="1"/>
      <c r="G98" s="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 ht="12.75" customHeight="1">
      <c r="A99" s="111"/>
      <c r="B99" s="111"/>
      <c r="C99" s="111"/>
      <c r="D99" s="1"/>
      <c r="E99" s="1"/>
      <c r="F99" s="1"/>
      <c r="G99" s="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 ht="12.75" customHeight="1">
      <c r="A100" s="111"/>
      <c r="B100" s="111"/>
      <c r="C100" s="111"/>
      <c r="D100" s="1"/>
      <c r="E100" s="1"/>
      <c r="F100" s="1"/>
      <c r="G100" s="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 ht="12.75" customHeight="1">
      <c r="A101" s="111"/>
      <c r="B101" s="111"/>
      <c r="C101" s="111"/>
      <c r="D101" s="1"/>
      <c r="E101" s="1"/>
      <c r="F101" s="1"/>
      <c r="G101" s="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 ht="12.75" customHeight="1">
      <c r="A102" s="111"/>
      <c r="B102" s="111"/>
      <c r="C102" s="111"/>
      <c r="D102" s="1"/>
      <c r="E102" s="1"/>
      <c r="F102" s="1"/>
      <c r="G102" s="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 ht="12.75" customHeight="1">
      <c r="A103" s="111"/>
      <c r="B103" s="111"/>
      <c r="C103" s="111"/>
      <c r="D103" s="1"/>
      <c r="E103" s="1"/>
      <c r="F103" s="1"/>
      <c r="G103" s="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 ht="12.75" customHeight="1">
      <c r="A104" s="111"/>
      <c r="B104" s="111"/>
      <c r="C104" s="111"/>
      <c r="D104" s="1"/>
      <c r="E104" s="1"/>
      <c r="F104" s="1"/>
      <c r="G104" s="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 ht="12.75" customHeight="1">
      <c r="A105" s="111"/>
      <c r="B105" s="111"/>
      <c r="C105" s="111"/>
      <c r="D105" s="1"/>
      <c r="E105" s="1"/>
      <c r="F105" s="1"/>
      <c r="G105" s="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 ht="12.75" customHeight="1">
      <c r="A106" s="111"/>
      <c r="B106" s="111"/>
      <c r="C106" s="111"/>
      <c r="D106" s="1"/>
      <c r="E106" s="1"/>
      <c r="F106" s="1"/>
      <c r="G106" s="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 ht="12.75" customHeight="1">
      <c r="A107" s="111"/>
      <c r="B107" s="111"/>
      <c r="C107" s="111"/>
      <c r="D107" s="1"/>
      <c r="E107" s="1"/>
      <c r="F107" s="1"/>
      <c r="G107" s="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 ht="12.75" customHeight="1">
      <c r="A108" s="111"/>
      <c r="B108" s="111"/>
      <c r="C108" s="111"/>
      <c r="D108" s="1"/>
      <c r="E108" s="1"/>
      <c r="F108" s="1"/>
      <c r="G108" s="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 ht="12.75" customHeight="1">
      <c r="A109" s="111"/>
      <c r="B109" s="111"/>
      <c r="C109" s="111"/>
      <c r="D109" s="1"/>
      <c r="E109" s="1"/>
      <c r="F109" s="1"/>
      <c r="G109" s="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 ht="12.75" customHeight="1">
      <c r="A110" s="111"/>
      <c r="B110" s="111"/>
      <c r="C110" s="111"/>
      <c r="D110" s="1"/>
      <c r="E110" s="1"/>
      <c r="F110" s="1"/>
      <c r="G110" s="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 ht="12.75" customHeight="1">
      <c r="A111" s="111"/>
      <c r="B111" s="111"/>
      <c r="C111" s="111"/>
      <c r="D111" s="1"/>
      <c r="E111" s="1"/>
      <c r="F111" s="1"/>
      <c r="G111" s="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 ht="12.75" customHeight="1">
      <c r="A112" s="111"/>
      <c r="B112" s="111"/>
      <c r="C112" s="111"/>
      <c r="D112" s="1"/>
      <c r="E112" s="1"/>
      <c r="F112" s="1"/>
      <c r="G112" s="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 ht="12.75" customHeight="1">
      <c r="A113" s="111"/>
      <c r="B113" s="111"/>
      <c r="C113" s="111"/>
      <c r="D113" s="1"/>
      <c r="E113" s="1"/>
      <c r="F113" s="1"/>
      <c r="G113" s="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 ht="12.75" customHeight="1">
      <c r="A114" s="111"/>
      <c r="B114" s="111"/>
      <c r="C114" s="111"/>
      <c r="D114" s="1"/>
      <c r="E114" s="1"/>
      <c r="F114" s="1"/>
      <c r="G114" s="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 ht="12.75" customHeight="1">
      <c r="A115" s="111"/>
      <c r="B115" s="111"/>
      <c r="C115" s="111"/>
      <c r="D115" s="1"/>
      <c r="E115" s="1"/>
      <c r="F115" s="1"/>
      <c r="G115" s="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 ht="12.75" customHeight="1">
      <c r="A116" s="111"/>
      <c r="B116" s="111"/>
      <c r="C116" s="111"/>
      <c r="D116" s="1"/>
      <c r="E116" s="1"/>
      <c r="F116" s="1"/>
      <c r="G116" s="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 ht="12.75" customHeight="1">
      <c r="A117" s="111"/>
      <c r="B117" s="111"/>
      <c r="C117" s="111"/>
      <c r="D117" s="1"/>
      <c r="E117" s="1"/>
      <c r="F117" s="1"/>
      <c r="G117" s="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ht="12.75" customHeight="1">
      <c r="A118" s="111"/>
      <c r="B118" s="111"/>
      <c r="C118" s="111"/>
      <c r="D118" s="1"/>
      <c r="E118" s="1"/>
      <c r="F118" s="1"/>
      <c r="G118" s="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 ht="12.75" customHeight="1">
      <c r="A119" s="111"/>
      <c r="B119" s="111"/>
      <c r="C119" s="111"/>
      <c r="D119" s="1"/>
      <c r="E119" s="1"/>
      <c r="F119" s="1"/>
      <c r="G119" s="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 ht="12.75" customHeight="1">
      <c r="A120" s="111"/>
      <c r="B120" s="111"/>
      <c r="C120" s="111"/>
      <c r="D120" s="1"/>
      <c r="E120" s="1"/>
      <c r="F120" s="1"/>
      <c r="G120" s="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 ht="12.75" customHeight="1">
      <c r="A121" s="111"/>
      <c r="B121" s="111"/>
      <c r="C121" s="111"/>
      <c r="D121" s="1"/>
      <c r="E121" s="1"/>
      <c r="F121" s="1"/>
      <c r="G121" s="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 ht="12.75" customHeight="1">
      <c r="A122" s="111"/>
      <c r="B122" s="111"/>
      <c r="C122" s="111"/>
      <c r="D122" s="1"/>
      <c r="E122" s="1"/>
      <c r="F122" s="1"/>
      <c r="G122" s="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ht="12.75" customHeight="1">
      <c r="A123" s="111"/>
      <c r="B123" s="111"/>
      <c r="C123" s="111"/>
      <c r="D123" s="1"/>
      <c r="E123" s="1"/>
      <c r="F123" s="1"/>
      <c r="G123" s="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 ht="12.75" customHeight="1">
      <c r="A124" s="111"/>
      <c r="B124" s="111"/>
      <c r="C124" s="111"/>
      <c r="D124" s="1"/>
      <c r="E124" s="1"/>
      <c r="F124" s="1"/>
      <c r="G124" s="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 ht="12.75" customHeight="1">
      <c r="A125" s="111"/>
      <c r="B125" s="111"/>
      <c r="C125" s="111"/>
      <c r="D125" s="1"/>
      <c r="E125" s="1"/>
      <c r="F125" s="1"/>
      <c r="G125" s="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 ht="12.75" customHeight="1">
      <c r="A126" s="111"/>
      <c r="B126" s="111"/>
      <c r="C126" s="111"/>
      <c r="D126" s="1"/>
      <c r="E126" s="1"/>
      <c r="F126" s="1"/>
      <c r="G126" s="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 ht="12.75" customHeight="1">
      <c r="A127" s="111"/>
      <c r="B127" s="111"/>
      <c r="C127" s="111"/>
      <c r="D127" s="1"/>
      <c r="E127" s="1"/>
      <c r="F127" s="1"/>
      <c r="G127" s="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ht="12.75" customHeight="1">
      <c r="A128" s="111"/>
      <c r="B128" s="111"/>
      <c r="C128" s="111"/>
      <c r="D128" s="1"/>
      <c r="E128" s="1"/>
      <c r="F128" s="1"/>
      <c r="G128" s="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 ht="12.75" customHeight="1">
      <c r="A129" s="111"/>
      <c r="B129" s="111"/>
      <c r="C129" s="111"/>
      <c r="D129" s="1"/>
      <c r="E129" s="1"/>
      <c r="F129" s="1"/>
      <c r="G129" s="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 ht="12.75" customHeight="1">
      <c r="A130" s="111"/>
      <c r="B130" s="111"/>
      <c r="C130" s="111"/>
      <c r="D130" s="1"/>
      <c r="E130" s="1"/>
      <c r="F130" s="1"/>
      <c r="G130" s="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 ht="12.75" customHeight="1">
      <c r="A131" s="111"/>
      <c r="B131" s="111"/>
      <c r="C131" s="111"/>
      <c r="D131" s="1"/>
      <c r="E131" s="1"/>
      <c r="F131" s="1"/>
      <c r="G131" s="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 ht="12.75" customHeight="1">
      <c r="A132" s="111"/>
      <c r="B132" s="111"/>
      <c r="C132" s="111"/>
      <c r="D132" s="1"/>
      <c r="E132" s="1"/>
      <c r="F132" s="1"/>
      <c r="G132" s="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 ht="12.75" customHeight="1">
      <c r="A133" s="111"/>
      <c r="B133" s="111"/>
      <c r="C133" s="111"/>
      <c r="D133" s="1"/>
      <c r="E133" s="1"/>
      <c r="F133" s="1"/>
      <c r="G133" s="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 ht="12.75" customHeight="1">
      <c r="A134" s="111"/>
      <c r="B134" s="111"/>
      <c r="C134" s="111"/>
      <c r="D134" s="1"/>
      <c r="E134" s="1"/>
      <c r="F134" s="1"/>
      <c r="G134" s="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 ht="12.75" customHeight="1">
      <c r="A135" s="111"/>
      <c r="B135" s="111"/>
      <c r="C135" s="111"/>
      <c r="D135" s="1"/>
      <c r="E135" s="1"/>
      <c r="F135" s="1"/>
      <c r="G135" s="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 ht="12.75" customHeight="1">
      <c r="A136" s="111"/>
      <c r="B136" s="111"/>
      <c r="C136" s="111"/>
      <c r="D136" s="1"/>
      <c r="E136" s="1"/>
      <c r="F136" s="1"/>
      <c r="G136" s="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 ht="12.75" customHeight="1">
      <c r="A137" s="111"/>
      <c r="B137" s="111"/>
      <c r="C137" s="111"/>
      <c r="D137" s="1"/>
      <c r="E137" s="1"/>
      <c r="F137" s="1"/>
      <c r="G137" s="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 ht="12.75" customHeight="1">
      <c r="A138" s="111"/>
      <c r="B138" s="111"/>
      <c r="C138" s="111"/>
      <c r="D138" s="1"/>
      <c r="E138" s="1"/>
      <c r="F138" s="1"/>
      <c r="G138" s="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 ht="12.75" customHeight="1">
      <c r="A139" s="111"/>
      <c r="B139" s="111"/>
      <c r="C139" s="111"/>
      <c r="D139" s="1"/>
      <c r="E139" s="1"/>
      <c r="F139" s="1"/>
      <c r="G139" s="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 ht="12.75" customHeight="1">
      <c r="A140" s="111"/>
      <c r="B140" s="111"/>
      <c r="C140" s="111"/>
      <c r="D140" s="1"/>
      <c r="E140" s="1"/>
      <c r="F140" s="1"/>
      <c r="G140" s="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 ht="12.75" customHeight="1">
      <c r="A141" s="111"/>
      <c r="B141" s="111"/>
      <c r="C141" s="111"/>
      <c r="D141" s="1"/>
      <c r="E141" s="1"/>
      <c r="F141" s="1"/>
      <c r="G141" s="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 ht="12.75" customHeight="1">
      <c r="A142" s="111"/>
      <c r="B142" s="111"/>
      <c r="C142" s="111"/>
      <c r="D142" s="1"/>
      <c r="E142" s="1"/>
      <c r="F142" s="1"/>
      <c r="G142" s="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 ht="12.75" customHeight="1">
      <c r="A143" s="111"/>
      <c r="B143" s="111"/>
      <c r="C143" s="111"/>
      <c r="D143" s="1"/>
      <c r="E143" s="1"/>
      <c r="F143" s="1"/>
      <c r="G143" s="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 ht="12.75" customHeight="1">
      <c r="A144" s="111"/>
      <c r="B144" s="111"/>
      <c r="C144" s="111"/>
      <c r="D144" s="1"/>
      <c r="E144" s="1"/>
      <c r="F144" s="1"/>
      <c r="G144" s="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 ht="12.75" customHeight="1">
      <c r="A145" s="111"/>
      <c r="B145" s="111"/>
      <c r="C145" s="111"/>
      <c r="D145" s="1"/>
      <c r="E145" s="1"/>
      <c r="F145" s="1"/>
      <c r="G145" s="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 ht="12.75" customHeight="1">
      <c r="A146" s="111"/>
      <c r="B146" s="111"/>
      <c r="C146" s="111"/>
      <c r="D146" s="1"/>
      <c r="E146" s="1"/>
      <c r="F146" s="1"/>
      <c r="G146" s="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 ht="12.75" customHeight="1">
      <c r="A147" s="111"/>
      <c r="B147" s="111"/>
      <c r="C147" s="111"/>
      <c r="D147" s="1"/>
      <c r="E147" s="1"/>
      <c r="F147" s="1"/>
      <c r="G147" s="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 ht="12.75" customHeight="1">
      <c r="A148" s="111"/>
      <c r="B148" s="111"/>
      <c r="C148" s="111"/>
      <c r="D148" s="1"/>
      <c r="E148" s="1"/>
      <c r="F148" s="1"/>
      <c r="G148" s="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 ht="12.75" customHeight="1">
      <c r="A149" s="111"/>
      <c r="B149" s="111"/>
      <c r="C149" s="111"/>
      <c r="D149" s="1"/>
      <c r="E149" s="1"/>
      <c r="F149" s="1"/>
      <c r="G149" s="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 ht="12.75" customHeight="1">
      <c r="A150" s="111"/>
      <c r="B150" s="111"/>
      <c r="C150" s="111"/>
      <c r="D150" s="1"/>
      <c r="E150" s="1"/>
      <c r="F150" s="1"/>
      <c r="G150" s="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 ht="12.75" customHeight="1">
      <c r="A151" s="111"/>
      <c r="B151" s="111"/>
      <c r="C151" s="111"/>
      <c r="D151" s="1"/>
      <c r="E151" s="1"/>
      <c r="F151" s="1"/>
      <c r="G151" s="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 ht="12.75" customHeight="1">
      <c r="A152" s="111"/>
      <c r="B152" s="111"/>
      <c r="C152" s="111"/>
      <c r="D152" s="1"/>
      <c r="E152" s="1"/>
      <c r="F152" s="1"/>
      <c r="G152" s="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 ht="12.75" customHeight="1">
      <c r="A153" s="111"/>
      <c r="B153" s="111"/>
      <c r="C153" s="111"/>
      <c r="D153" s="1"/>
      <c r="E153" s="1"/>
      <c r="F153" s="1"/>
      <c r="G153" s="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 ht="12.75" customHeight="1">
      <c r="A154" s="111"/>
      <c r="B154" s="111"/>
      <c r="C154" s="111"/>
      <c r="D154" s="1"/>
      <c r="E154" s="1"/>
      <c r="F154" s="1"/>
      <c r="G154" s="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 ht="12.75" customHeight="1">
      <c r="A155" s="111"/>
      <c r="B155" s="111"/>
      <c r="C155" s="111"/>
      <c r="D155" s="1"/>
      <c r="E155" s="1"/>
      <c r="F155" s="1"/>
      <c r="G155" s="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 ht="12.75" customHeight="1">
      <c r="A156" s="111"/>
      <c r="B156" s="111"/>
      <c r="C156" s="111"/>
      <c r="D156" s="1"/>
      <c r="E156" s="1"/>
      <c r="F156" s="1"/>
      <c r="G156" s="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 ht="12.75" customHeight="1">
      <c r="A157" s="111"/>
      <c r="B157" s="111"/>
      <c r="C157" s="111"/>
      <c r="D157" s="1"/>
      <c r="E157" s="1"/>
      <c r="F157" s="1"/>
      <c r="G157" s="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 ht="12.75" customHeight="1">
      <c r="A158" s="111"/>
      <c r="B158" s="111"/>
      <c r="C158" s="111"/>
      <c r="D158" s="1"/>
      <c r="E158" s="1"/>
      <c r="F158" s="1"/>
      <c r="G158" s="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 ht="12.75" customHeight="1">
      <c r="A159" s="111"/>
      <c r="B159" s="111"/>
      <c r="C159" s="111"/>
      <c r="D159" s="1"/>
      <c r="E159" s="1"/>
      <c r="F159" s="1"/>
      <c r="G159" s="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 ht="12.75" customHeight="1">
      <c r="A160" s="111"/>
      <c r="B160" s="111"/>
      <c r="C160" s="111"/>
      <c r="D160" s="1"/>
      <c r="E160" s="1"/>
      <c r="F160" s="1"/>
      <c r="G160" s="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 ht="12.75" customHeight="1">
      <c r="A161" s="111"/>
      <c r="B161" s="111"/>
      <c r="C161" s="111"/>
      <c r="D161" s="1"/>
      <c r="E161" s="1"/>
      <c r="F161" s="1"/>
      <c r="G161" s="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 ht="12.75" customHeight="1">
      <c r="A162" s="111"/>
      <c r="B162" s="111"/>
      <c r="C162" s="111"/>
      <c r="D162" s="1"/>
      <c r="E162" s="1"/>
      <c r="F162" s="1"/>
      <c r="G162" s="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 ht="12.75" customHeight="1">
      <c r="A163" s="111"/>
      <c r="B163" s="111"/>
      <c r="C163" s="111"/>
      <c r="D163" s="1"/>
      <c r="E163" s="1"/>
      <c r="F163" s="1"/>
      <c r="G163" s="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 ht="12.75" customHeight="1">
      <c r="A164" s="111"/>
      <c r="B164" s="111"/>
      <c r="C164" s="111"/>
      <c r="D164" s="1"/>
      <c r="E164" s="1"/>
      <c r="F164" s="1"/>
      <c r="G164" s="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 ht="12.75" customHeight="1">
      <c r="A165" s="111"/>
      <c r="B165" s="111"/>
      <c r="C165" s="111"/>
      <c r="D165" s="1"/>
      <c r="E165" s="1"/>
      <c r="F165" s="1"/>
      <c r="G165" s="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 ht="12.75" customHeight="1">
      <c r="A166" s="111"/>
      <c r="B166" s="111"/>
      <c r="C166" s="111"/>
      <c r="D166" s="1"/>
      <c r="E166" s="1"/>
      <c r="F166" s="1"/>
      <c r="G166" s="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 ht="12.75" customHeight="1">
      <c r="A167" s="111"/>
      <c r="B167" s="111"/>
      <c r="C167" s="111"/>
      <c r="D167" s="1"/>
      <c r="E167" s="1"/>
      <c r="F167" s="1"/>
      <c r="G167" s="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 ht="12.75" customHeight="1">
      <c r="A168" s="111"/>
      <c r="B168" s="111"/>
      <c r="C168" s="111"/>
      <c r="D168" s="1"/>
      <c r="E168" s="1"/>
      <c r="F168" s="1"/>
      <c r="G168" s="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 ht="12.75" customHeight="1">
      <c r="A169" s="111"/>
      <c r="B169" s="111"/>
      <c r="C169" s="111"/>
      <c r="D169" s="1"/>
      <c r="E169" s="1"/>
      <c r="F169" s="1"/>
      <c r="G169" s="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 ht="12.75" customHeight="1">
      <c r="A170" s="111"/>
      <c r="B170" s="111"/>
      <c r="C170" s="111"/>
      <c r="D170" s="1"/>
      <c r="E170" s="1"/>
      <c r="F170" s="1"/>
      <c r="G170" s="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 ht="12.75" customHeight="1">
      <c r="A171" s="111"/>
      <c r="B171" s="111"/>
      <c r="C171" s="111"/>
      <c r="D171" s="1"/>
      <c r="E171" s="1"/>
      <c r="F171" s="1"/>
      <c r="G171" s="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 ht="12.75" customHeight="1">
      <c r="A172" s="111"/>
      <c r="B172" s="111"/>
      <c r="C172" s="111"/>
      <c r="D172" s="1"/>
      <c r="E172" s="1"/>
      <c r="F172" s="1"/>
      <c r="G172" s="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 ht="12.75" customHeight="1">
      <c r="A173" s="111"/>
      <c r="B173" s="111"/>
      <c r="C173" s="111"/>
      <c r="D173" s="1"/>
      <c r="E173" s="1"/>
      <c r="F173" s="1"/>
      <c r="G173" s="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 ht="12.75" customHeight="1">
      <c r="A174" s="111"/>
      <c r="B174" s="111"/>
      <c r="C174" s="111"/>
      <c r="D174" s="1"/>
      <c r="E174" s="1"/>
      <c r="F174" s="1"/>
      <c r="G174" s="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 ht="12.75" customHeight="1">
      <c r="A175" s="111"/>
      <c r="B175" s="111"/>
      <c r="C175" s="111"/>
      <c r="D175" s="1"/>
      <c r="E175" s="1"/>
      <c r="F175" s="1"/>
      <c r="G175" s="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 ht="12.75" customHeight="1">
      <c r="A176" s="111"/>
      <c r="B176" s="111"/>
      <c r="C176" s="111"/>
      <c r="D176" s="1"/>
      <c r="E176" s="1"/>
      <c r="F176" s="1"/>
      <c r="G176" s="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 ht="12.75" customHeight="1">
      <c r="A177" s="111"/>
      <c r="B177" s="111"/>
      <c r="C177" s="111"/>
      <c r="D177" s="1"/>
      <c r="E177" s="1"/>
      <c r="F177" s="1"/>
      <c r="G177" s="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 ht="12.75" customHeight="1">
      <c r="A178" s="111"/>
      <c r="B178" s="111"/>
      <c r="C178" s="111"/>
      <c r="D178" s="1"/>
      <c r="E178" s="1"/>
      <c r="F178" s="1"/>
      <c r="G178" s="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 ht="12.75" customHeight="1">
      <c r="A179" s="111"/>
      <c r="B179" s="111"/>
      <c r="C179" s="111"/>
      <c r="D179" s="1"/>
      <c r="E179" s="1"/>
      <c r="F179" s="1"/>
      <c r="G179" s="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 ht="12.75" customHeight="1">
      <c r="A180" s="111"/>
      <c r="B180" s="111"/>
      <c r="C180" s="111"/>
      <c r="D180" s="1"/>
      <c r="E180" s="1"/>
      <c r="F180" s="1"/>
      <c r="G180" s="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 ht="12.75" customHeight="1">
      <c r="A181" s="111"/>
      <c r="B181" s="111"/>
      <c r="C181" s="111"/>
      <c r="D181" s="1"/>
      <c r="E181" s="1"/>
      <c r="F181" s="1"/>
      <c r="G181" s="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 ht="12.75" customHeight="1">
      <c r="A182" s="111"/>
      <c r="B182" s="111"/>
      <c r="C182" s="111"/>
      <c r="D182" s="1"/>
      <c r="E182" s="1"/>
      <c r="F182" s="1"/>
      <c r="G182" s="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 ht="12.75" customHeight="1">
      <c r="A183" s="111"/>
      <c r="B183" s="111"/>
      <c r="C183" s="111"/>
      <c r="D183" s="1"/>
      <c r="E183" s="1"/>
      <c r="F183" s="1"/>
      <c r="G183" s="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 ht="12.75" customHeight="1">
      <c r="A184" s="111"/>
      <c r="B184" s="111"/>
      <c r="C184" s="111"/>
      <c r="D184" s="1"/>
      <c r="E184" s="1"/>
      <c r="F184" s="1"/>
      <c r="G184" s="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 ht="12.75" customHeight="1">
      <c r="A185" s="111"/>
      <c r="B185" s="111"/>
      <c r="C185" s="111"/>
      <c r="D185" s="1"/>
      <c r="E185" s="1"/>
      <c r="F185" s="1"/>
      <c r="G185" s="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 ht="12.75" customHeight="1">
      <c r="A186" s="111"/>
      <c r="B186" s="111"/>
      <c r="C186" s="111"/>
      <c r="D186" s="1"/>
      <c r="E186" s="1"/>
      <c r="F186" s="1"/>
      <c r="G186" s="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 ht="12.75" customHeight="1">
      <c r="A187" s="111"/>
      <c r="B187" s="111"/>
      <c r="C187" s="111"/>
      <c r="D187" s="1"/>
      <c r="E187" s="1"/>
      <c r="F187" s="1"/>
      <c r="G187" s="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 ht="12.75" customHeight="1">
      <c r="A188" s="111"/>
      <c r="B188" s="111"/>
      <c r="C188" s="111"/>
      <c r="D188" s="1"/>
      <c r="E188" s="1"/>
      <c r="F188" s="1"/>
      <c r="G188" s="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 ht="12.75" customHeight="1">
      <c r="A189" s="111"/>
      <c r="B189" s="111"/>
      <c r="C189" s="111"/>
      <c r="D189" s="1"/>
      <c r="E189" s="1"/>
      <c r="F189" s="1"/>
      <c r="G189" s="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 ht="12.75" customHeight="1">
      <c r="A190" s="111"/>
      <c r="B190" s="111"/>
      <c r="C190" s="111"/>
      <c r="D190" s="1"/>
      <c r="E190" s="1"/>
      <c r="F190" s="1"/>
      <c r="G190" s="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 ht="12.75" customHeight="1">
      <c r="A191" s="111"/>
      <c r="B191" s="111"/>
      <c r="C191" s="111"/>
      <c r="D191" s="1"/>
      <c r="E191" s="1"/>
      <c r="F191" s="1"/>
      <c r="G191" s="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 ht="12.75" customHeight="1">
      <c r="A192" s="111"/>
      <c r="B192" s="111"/>
      <c r="C192" s="111"/>
      <c r="D192" s="1"/>
      <c r="E192" s="1"/>
      <c r="F192" s="1"/>
      <c r="G192" s="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 ht="12.75" customHeight="1">
      <c r="A193" s="111"/>
      <c r="B193" s="111"/>
      <c r="C193" s="111"/>
      <c r="D193" s="1"/>
      <c r="E193" s="1"/>
      <c r="F193" s="1"/>
      <c r="G193" s="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 ht="12.75" customHeight="1">
      <c r="A194" s="111"/>
      <c r="B194" s="111"/>
      <c r="C194" s="111"/>
      <c r="D194" s="1"/>
      <c r="E194" s="1"/>
      <c r="F194" s="1"/>
      <c r="G194" s="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 ht="12.75" customHeight="1">
      <c r="A195" s="111"/>
      <c r="B195" s="111"/>
      <c r="C195" s="111"/>
      <c r="D195" s="1"/>
      <c r="E195" s="1"/>
      <c r="F195" s="1"/>
      <c r="G195" s="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 ht="12.75" customHeight="1">
      <c r="A196" s="111"/>
      <c r="B196" s="111"/>
      <c r="C196" s="111"/>
      <c r="D196" s="1"/>
      <c r="E196" s="1"/>
      <c r="F196" s="1"/>
      <c r="G196" s="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 ht="12.75" customHeight="1">
      <c r="A197" s="111"/>
      <c r="B197" s="111"/>
      <c r="C197" s="111"/>
      <c r="D197" s="1"/>
      <c r="E197" s="1"/>
      <c r="F197" s="1"/>
      <c r="G197" s="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 ht="12.75" customHeight="1">
      <c r="A198" s="111"/>
      <c r="B198" s="111"/>
      <c r="C198" s="111"/>
      <c r="D198" s="1"/>
      <c r="E198" s="1"/>
      <c r="F198" s="1"/>
      <c r="G198" s="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 ht="12.75" customHeight="1">
      <c r="A199" s="111"/>
      <c r="B199" s="111"/>
      <c r="C199" s="111"/>
      <c r="D199" s="1"/>
      <c r="E199" s="1"/>
      <c r="F199" s="1"/>
      <c r="G199" s="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 ht="12.75" customHeight="1">
      <c r="A200" s="111"/>
      <c r="B200" s="111"/>
      <c r="C200" s="111"/>
      <c r="D200" s="1"/>
      <c r="E200" s="1"/>
      <c r="F200" s="1"/>
      <c r="G200" s="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 ht="12.75" customHeight="1">
      <c r="A201" s="111"/>
      <c r="B201" s="111"/>
      <c r="C201" s="111"/>
      <c r="D201" s="1"/>
      <c r="E201" s="1"/>
      <c r="F201" s="1"/>
      <c r="G201" s="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 ht="12.75" customHeight="1">
      <c r="A202" s="111"/>
      <c r="B202" s="111"/>
      <c r="C202" s="111"/>
      <c r="D202" s="1"/>
      <c r="E202" s="1"/>
      <c r="F202" s="1"/>
      <c r="G202" s="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 ht="12.75" customHeight="1">
      <c r="A203" s="111"/>
      <c r="B203" s="111"/>
      <c r="C203" s="111"/>
      <c r="D203" s="1"/>
      <c r="E203" s="1"/>
      <c r="F203" s="1"/>
      <c r="G203" s="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 ht="12.75" customHeight="1">
      <c r="A204" s="111"/>
      <c r="B204" s="111"/>
      <c r="C204" s="111"/>
      <c r="D204" s="1"/>
      <c r="E204" s="1"/>
      <c r="F204" s="1"/>
      <c r="G204" s="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 ht="12.75" customHeight="1">
      <c r="A205" s="111"/>
      <c r="B205" s="111"/>
      <c r="C205" s="111"/>
      <c r="D205" s="1"/>
      <c r="E205" s="1"/>
      <c r="F205" s="1"/>
      <c r="G205" s="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 ht="12.75" customHeight="1">
      <c r="A206" s="111"/>
      <c r="B206" s="111"/>
      <c r="C206" s="111"/>
      <c r="D206" s="1"/>
      <c r="E206" s="1"/>
      <c r="F206" s="1"/>
      <c r="G206" s="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 ht="12.75" customHeight="1">
      <c r="A207" s="111"/>
      <c r="B207" s="111"/>
      <c r="C207" s="111"/>
      <c r="D207" s="1"/>
      <c r="E207" s="1"/>
      <c r="F207" s="1"/>
      <c r="G207" s="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 ht="12.75" customHeight="1">
      <c r="A208" s="111"/>
      <c r="B208" s="111"/>
      <c r="C208" s="111"/>
      <c r="D208" s="1"/>
      <c r="E208" s="1"/>
      <c r="F208" s="1"/>
      <c r="G208" s="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 ht="12.75" customHeight="1">
      <c r="A209" s="111"/>
      <c r="B209" s="111"/>
      <c r="C209" s="111"/>
      <c r="D209" s="1"/>
      <c r="E209" s="1"/>
      <c r="F209" s="1"/>
      <c r="G209" s="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 ht="12.75" customHeight="1">
      <c r="A210" s="111"/>
      <c r="B210" s="111"/>
      <c r="C210" s="111"/>
      <c r="D210" s="1"/>
      <c r="E210" s="1"/>
      <c r="F210" s="1"/>
      <c r="G210" s="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 ht="12.75" customHeight="1">
      <c r="A211" s="111"/>
      <c r="B211" s="111"/>
      <c r="C211" s="111"/>
      <c r="D211" s="1"/>
      <c r="E211" s="1"/>
      <c r="F211" s="1"/>
      <c r="G211" s="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 ht="12.75" customHeight="1">
      <c r="A212" s="111"/>
      <c r="B212" s="111"/>
      <c r="C212" s="111"/>
      <c r="D212" s="1"/>
      <c r="E212" s="1"/>
      <c r="F212" s="1"/>
      <c r="G212" s="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 ht="12.75" customHeight="1">
      <c r="A213" s="111"/>
      <c r="B213" s="111"/>
      <c r="C213" s="111"/>
      <c r="D213" s="1"/>
      <c r="E213" s="1"/>
      <c r="F213" s="1"/>
      <c r="G213" s="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 ht="12.75" customHeight="1">
      <c r="A214" s="111"/>
      <c r="B214" s="111"/>
      <c r="C214" s="111"/>
      <c r="D214" s="1"/>
      <c r="E214" s="1"/>
      <c r="F214" s="1"/>
      <c r="G214" s="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 ht="12.75" customHeight="1">
      <c r="A215" s="111"/>
      <c r="B215" s="111"/>
      <c r="C215" s="111"/>
      <c r="D215" s="1"/>
      <c r="E215" s="1"/>
      <c r="F215" s="1"/>
      <c r="G215" s="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 ht="12.75" customHeight="1">
      <c r="A216" s="111"/>
      <c r="B216" s="111"/>
      <c r="C216" s="111"/>
      <c r="D216" s="1"/>
      <c r="E216" s="1"/>
      <c r="F216" s="1"/>
      <c r="G216" s="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 ht="12.75" customHeight="1">
      <c r="A217" s="111"/>
      <c r="B217" s="111"/>
      <c r="C217" s="111"/>
      <c r="D217" s="1"/>
      <c r="E217" s="1"/>
      <c r="F217" s="1"/>
      <c r="G217" s="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 ht="12.75" customHeight="1">
      <c r="A218" s="111"/>
      <c r="B218" s="111"/>
      <c r="C218" s="111"/>
      <c r="D218" s="1"/>
      <c r="E218" s="1"/>
      <c r="F218" s="1"/>
      <c r="G218" s="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 ht="12.75" customHeight="1">
      <c r="A219" s="111"/>
      <c r="B219" s="111"/>
      <c r="C219" s="111"/>
      <c r="D219" s="1"/>
      <c r="E219" s="1"/>
      <c r="F219" s="1"/>
      <c r="G219" s="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 ht="12.75" customHeight="1">
      <c r="A220" s="111"/>
      <c r="B220" s="111"/>
      <c r="C220" s="111"/>
      <c r="D220" s="1"/>
      <c r="E220" s="1"/>
      <c r="F220" s="1"/>
      <c r="G220" s="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 ht="12.75" customHeight="1">
      <c r="A221" s="111"/>
      <c r="B221" s="111"/>
      <c r="C221" s="111"/>
      <c r="D221" s="1"/>
      <c r="E221" s="1"/>
      <c r="F221" s="1"/>
      <c r="G221" s="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 ht="12.75" customHeight="1">
      <c r="A222" s="111"/>
      <c r="B222" s="111"/>
      <c r="C222" s="111"/>
      <c r="D222" s="1"/>
      <c r="E222" s="1"/>
      <c r="F222" s="1"/>
      <c r="G222" s="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 ht="12.75" customHeight="1">
      <c r="A223" s="111"/>
      <c r="B223" s="111"/>
      <c r="C223" s="111"/>
      <c r="D223" s="1"/>
      <c r="E223" s="1"/>
      <c r="F223" s="1"/>
      <c r="G223" s="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 ht="12.75" customHeight="1">
      <c r="A224" s="111"/>
      <c r="B224" s="111"/>
      <c r="C224" s="111"/>
      <c r="D224" s="1"/>
      <c r="E224" s="1"/>
      <c r="F224" s="1"/>
      <c r="G224" s="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 ht="12.75" customHeight="1">
      <c r="A225" s="111"/>
      <c r="B225" s="111"/>
      <c r="C225" s="111"/>
      <c r="D225" s="1"/>
      <c r="E225" s="1"/>
      <c r="F225" s="1"/>
      <c r="G225" s="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 ht="12.75" customHeight="1">
      <c r="A226" s="111"/>
      <c r="B226" s="111"/>
      <c r="C226" s="111"/>
      <c r="D226" s="1"/>
      <c r="E226" s="1"/>
      <c r="F226" s="1"/>
      <c r="G226" s="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 ht="12.75" customHeight="1">
      <c r="A227" s="111"/>
      <c r="B227" s="111"/>
      <c r="C227" s="111"/>
      <c r="D227" s="1"/>
      <c r="E227" s="1"/>
      <c r="F227" s="1"/>
      <c r="G227" s="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 ht="12.75" customHeight="1">
      <c r="A228" s="111"/>
      <c r="B228" s="111"/>
      <c r="C228" s="111"/>
      <c r="D228" s="1"/>
      <c r="E228" s="1"/>
      <c r="F228" s="1"/>
      <c r="G228" s="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 ht="12.75" customHeight="1">
      <c r="A229" s="111"/>
      <c r="B229" s="111"/>
      <c r="C229" s="111"/>
      <c r="D229" s="1"/>
      <c r="E229" s="1"/>
      <c r="F229" s="1"/>
      <c r="G229" s="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 ht="12.75" customHeight="1">
      <c r="A230" s="111"/>
      <c r="B230" s="111"/>
      <c r="C230" s="111"/>
      <c r="D230" s="1"/>
      <c r="E230" s="1"/>
      <c r="F230" s="1"/>
      <c r="G230" s="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 ht="12.75" customHeight="1">
      <c r="A231" s="111"/>
      <c r="B231" s="111"/>
      <c r="C231" s="111"/>
      <c r="D231" s="1"/>
      <c r="E231" s="1"/>
      <c r="F231" s="1"/>
      <c r="G231" s="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 ht="12.75" customHeight="1">
      <c r="A232" s="111"/>
      <c r="B232" s="111"/>
      <c r="C232" s="111"/>
      <c r="D232" s="1"/>
      <c r="E232" s="1"/>
      <c r="F232" s="1"/>
      <c r="G232" s="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 ht="12.75" customHeight="1">
      <c r="A233" s="111"/>
      <c r="B233" s="111"/>
      <c r="C233" s="111"/>
      <c r="D233" s="1"/>
      <c r="E233" s="1"/>
      <c r="F233" s="1"/>
      <c r="G233" s="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 ht="12.75" customHeight="1">
      <c r="A234" s="111"/>
      <c r="B234" s="111"/>
      <c r="C234" s="111"/>
      <c r="D234" s="1"/>
      <c r="E234" s="1"/>
      <c r="F234" s="1"/>
      <c r="G234" s="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 ht="12.75" customHeight="1">
      <c r="A235" s="111"/>
      <c r="B235" s="111"/>
      <c r="C235" s="111"/>
      <c r="D235" s="1"/>
      <c r="E235" s="1"/>
      <c r="F235" s="1"/>
      <c r="G235" s="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 ht="12.75" customHeight="1">
      <c r="A236" s="111"/>
      <c r="B236" s="111"/>
      <c r="C236" s="111"/>
      <c r="D236" s="1"/>
      <c r="E236" s="1"/>
      <c r="F236" s="1"/>
      <c r="G236" s="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 ht="12.75" customHeight="1">
      <c r="A237" s="111"/>
      <c r="B237" s="111"/>
      <c r="C237" s="111"/>
      <c r="D237" s="1"/>
      <c r="E237" s="1"/>
      <c r="F237" s="1"/>
      <c r="G237" s="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 ht="12.75" customHeight="1">
      <c r="A238" s="111"/>
      <c r="B238" s="111"/>
      <c r="C238" s="111"/>
      <c r="D238" s="1"/>
      <c r="E238" s="1"/>
      <c r="F238" s="1"/>
      <c r="G238" s="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 ht="12.75" customHeight="1">
      <c r="A239" s="111"/>
      <c r="B239" s="111"/>
      <c r="C239" s="111"/>
      <c r="D239" s="1"/>
      <c r="E239" s="1"/>
      <c r="F239" s="1"/>
      <c r="G239" s="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 ht="12.75" customHeight="1">
      <c r="A240" s="111"/>
      <c r="B240" s="111"/>
      <c r="C240" s="111"/>
      <c r="D240" s="1"/>
      <c r="E240" s="1"/>
      <c r="F240" s="1"/>
      <c r="G240" s="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 ht="12.75" customHeight="1">
      <c r="A241" s="111"/>
      <c r="B241" s="111"/>
      <c r="C241" s="111"/>
      <c r="D241" s="1"/>
      <c r="E241" s="1"/>
      <c r="F241" s="1"/>
      <c r="G241" s="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 ht="12.75" customHeight="1">
      <c r="A242" s="111"/>
      <c r="B242" s="111"/>
      <c r="C242" s="111"/>
      <c r="D242" s="1"/>
      <c r="E242" s="1"/>
      <c r="F242" s="1"/>
      <c r="G242" s="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 ht="12.75" customHeight="1">
      <c r="A243" s="111"/>
      <c r="B243" s="111"/>
      <c r="C243" s="111"/>
      <c r="D243" s="1"/>
      <c r="E243" s="1"/>
      <c r="F243" s="1"/>
      <c r="G243" s="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 ht="12.75" customHeight="1">
      <c r="A244" s="111"/>
      <c r="B244" s="111"/>
      <c r="C244" s="111"/>
      <c r="D244" s="1"/>
      <c r="E244" s="1"/>
      <c r="F244" s="1"/>
      <c r="G244" s="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 ht="12.75" customHeight="1">
      <c r="A245" s="111"/>
      <c r="B245" s="111"/>
      <c r="C245" s="111"/>
      <c r="D245" s="1"/>
      <c r="E245" s="1"/>
      <c r="F245" s="1"/>
      <c r="G245" s="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 ht="12.75" customHeight="1">
      <c r="A246" s="111"/>
      <c r="B246" s="111"/>
      <c r="C246" s="111"/>
      <c r="D246" s="1"/>
      <c r="E246" s="1"/>
      <c r="F246" s="1"/>
      <c r="G246" s="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 ht="12.75" customHeight="1">
      <c r="A247" s="111"/>
      <c r="B247" s="111"/>
      <c r="C247" s="111"/>
      <c r="D247" s="1"/>
      <c r="E247" s="1"/>
      <c r="F247" s="1"/>
      <c r="G247" s="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 ht="12.75" customHeight="1">
      <c r="A248" s="111"/>
      <c r="B248" s="111"/>
      <c r="C248" s="111"/>
      <c r="D248" s="1"/>
      <c r="E248" s="1"/>
      <c r="F248" s="1"/>
      <c r="G248" s="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 ht="12.75" customHeight="1">
      <c r="A249" s="111"/>
      <c r="B249" s="111"/>
      <c r="C249" s="111"/>
      <c r="D249" s="1"/>
      <c r="E249" s="1"/>
      <c r="F249" s="1"/>
      <c r="G249" s="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 ht="12.75" customHeight="1">
      <c r="A250" s="111"/>
      <c r="B250" s="111"/>
      <c r="C250" s="111"/>
      <c r="D250" s="1"/>
      <c r="E250" s="1"/>
      <c r="F250" s="1"/>
      <c r="G250" s="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 ht="12.75" customHeight="1">
      <c r="A251" s="111"/>
      <c r="B251" s="111"/>
      <c r="C251" s="111"/>
      <c r="D251" s="1"/>
      <c r="E251" s="1"/>
      <c r="F251" s="1"/>
      <c r="G251" s="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 ht="12.75" customHeight="1">
      <c r="A252" s="111"/>
      <c r="B252" s="111"/>
      <c r="C252" s="111"/>
      <c r="D252" s="1"/>
      <c r="E252" s="1"/>
      <c r="F252" s="1"/>
      <c r="G252" s="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 ht="12.75" customHeight="1">
      <c r="A253" s="111"/>
      <c r="B253" s="111"/>
      <c r="C253" s="111"/>
      <c r="D253" s="1"/>
      <c r="E253" s="1"/>
      <c r="F253" s="1"/>
      <c r="G253" s="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 ht="12.75" customHeight="1">
      <c r="A254" s="111"/>
      <c r="B254" s="111"/>
      <c r="C254" s="111"/>
      <c r="D254" s="1"/>
      <c r="E254" s="1"/>
      <c r="F254" s="1"/>
      <c r="G254" s="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 ht="12.75" customHeight="1">
      <c r="A255" s="111"/>
      <c r="B255" s="111"/>
      <c r="C255" s="111"/>
      <c r="D255" s="1"/>
      <c r="E255" s="1"/>
      <c r="F255" s="1"/>
      <c r="G255" s="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 ht="12.75" customHeight="1">
      <c r="A256" s="111"/>
      <c r="B256" s="111"/>
      <c r="C256" s="111"/>
      <c r="D256" s="1"/>
      <c r="E256" s="1"/>
      <c r="F256" s="1"/>
      <c r="G256" s="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 ht="12.75" customHeight="1">
      <c r="A257" s="111"/>
      <c r="B257" s="111"/>
      <c r="C257" s="111"/>
      <c r="D257" s="1"/>
      <c r="E257" s="1"/>
      <c r="F257" s="1"/>
      <c r="G257" s="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 ht="12.75" customHeight="1">
      <c r="A258" s="111"/>
      <c r="B258" s="111"/>
      <c r="C258" s="111"/>
      <c r="D258" s="1"/>
      <c r="E258" s="1"/>
      <c r="F258" s="1"/>
      <c r="G258" s="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 ht="12.75" customHeight="1">
      <c r="A259" s="111"/>
      <c r="B259" s="111"/>
      <c r="C259" s="111"/>
      <c r="D259" s="1"/>
      <c r="E259" s="1"/>
      <c r="F259" s="1"/>
      <c r="G259" s="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 ht="12.75" customHeight="1">
      <c r="A260" s="111"/>
      <c r="B260" s="111"/>
      <c r="C260" s="111"/>
      <c r="D260" s="1"/>
      <c r="E260" s="1"/>
      <c r="F260" s="1"/>
      <c r="G260" s="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 ht="12.75" customHeight="1">
      <c r="A261" s="111"/>
      <c r="B261" s="111"/>
      <c r="C261" s="111"/>
      <c r="D261" s="1"/>
      <c r="E261" s="1"/>
      <c r="F261" s="1"/>
      <c r="G261" s="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 ht="12.75" customHeight="1">
      <c r="A262" s="111"/>
      <c r="B262" s="111"/>
      <c r="C262" s="111"/>
      <c r="D262" s="1"/>
      <c r="E262" s="1"/>
      <c r="F262" s="1"/>
      <c r="G262" s="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 ht="12.75" customHeight="1">
      <c r="A263" s="111"/>
      <c r="B263" s="111"/>
      <c r="C263" s="111"/>
      <c r="D263" s="1"/>
      <c r="E263" s="1"/>
      <c r="F263" s="1"/>
      <c r="G263" s="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 ht="12.75" customHeight="1">
      <c r="A264" s="111"/>
      <c r="B264" s="111"/>
      <c r="C264" s="111"/>
      <c r="D264" s="1"/>
      <c r="E264" s="1"/>
      <c r="F264" s="1"/>
      <c r="G264" s="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 ht="12.75" customHeight="1">
      <c r="A265" s="111"/>
      <c r="B265" s="111"/>
      <c r="C265" s="111"/>
      <c r="D265" s="1"/>
      <c r="E265" s="1"/>
      <c r="F265" s="1"/>
      <c r="G265" s="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 ht="12.75" customHeight="1">
      <c r="A266" s="111"/>
      <c r="B266" s="111"/>
      <c r="C266" s="111"/>
      <c r="D266" s="1"/>
      <c r="E266" s="1"/>
      <c r="F266" s="1"/>
      <c r="G266" s="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 ht="12.75" customHeight="1">
      <c r="A267" s="111"/>
      <c r="B267" s="111"/>
      <c r="C267" s="111"/>
      <c r="D267" s="1"/>
      <c r="E267" s="1"/>
      <c r="F267" s="1"/>
      <c r="G267" s="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 ht="12.75" customHeight="1">
      <c r="A268" s="111"/>
      <c r="B268" s="111"/>
      <c r="C268" s="111"/>
      <c r="D268" s="1"/>
      <c r="E268" s="1"/>
      <c r="F268" s="1"/>
      <c r="G268" s="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 ht="12.75" customHeight="1">
      <c r="A269" s="111"/>
      <c r="B269" s="111"/>
      <c r="C269" s="111"/>
      <c r="D269" s="1"/>
      <c r="E269" s="1"/>
      <c r="F269" s="1"/>
      <c r="G269" s="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 ht="12.75" customHeight="1">
      <c r="A270" s="111"/>
      <c r="B270" s="111"/>
      <c r="C270" s="111"/>
      <c r="D270" s="1"/>
      <c r="E270" s="1"/>
      <c r="F270" s="1"/>
      <c r="G270" s="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 ht="12.75" customHeight="1">
      <c r="A271" s="111"/>
      <c r="B271" s="111"/>
      <c r="C271" s="111"/>
      <c r="D271" s="1"/>
      <c r="E271" s="1"/>
      <c r="F271" s="1"/>
      <c r="G271" s="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 ht="12.75" customHeight="1">
      <c r="A272" s="111"/>
      <c r="B272" s="111"/>
      <c r="C272" s="111"/>
      <c r="D272" s="1"/>
      <c r="E272" s="1"/>
      <c r="F272" s="1"/>
      <c r="G272" s="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 ht="12.75" customHeight="1">
      <c r="A273" s="111"/>
      <c r="B273" s="111"/>
      <c r="C273" s="111"/>
      <c r="D273" s="1"/>
      <c r="E273" s="1"/>
      <c r="F273" s="1"/>
      <c r="G273" s="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 ht="12.75" customHeight="1">
      <c r="A274" s="111"/>
      <c r="B274" s="111"/>
      <c r="C274" s="111"/>
      <c r="D274" s="1"/>
      <c r="E274" s="1"/>
      <c r="F274" s="1"/>
      <c r="G274" s="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 ht="12.75" customHeight="1">
      <c r="A275" s="111"/>
      <c r="B275" s="111"/>
      <c r="C275" s="111"/>
      <c r="D275" s="1"/>
      <c r="E275" s="1"/>
      <c r="F275" s="1"/>
      <c r="G275" s="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 ht="12.75" customHeight="1">
      <c r="A276" s="111"/>
      <c r="B276" s="111"/>
      <c r="C276" s="111"/>
      <c r="D276" s="1"/>
      <c r="E276" s="1"/>
      <c r="F276" s="1"/>
      <c r="G276" s="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 ht="12.75" customHeight="1">
      <c r="A277" s="111"/>
      <c r="B277" s="111"/>
      <c r="C277" s="111"/>
      <c r="D277" s="1"/>
      <c r="E277" s="1"/>
      <c r="F277" s="1"/>
      <c r="G277" s="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 ht="12.75" customHeight="1">
      <c r="A278" s="111"/>
      <c r="B278" s="111"/>
      <c r="C278" s="111"/>
      <c r="D278" s="1"/>
      <c r="E278" s="1"/>
      <c r="F278" s="1"/>
      <c r="G278" s="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 ht="12.75" customHeight="1">
      <c r="A279" s="111"/>
      <c r="B279" s="111"/>
      <c r="C279" s="111"/>
      <c r="D279" s="1"/>
      <c r="E279" s="1"/>
      <c r="F279" s="1"/>
      <c r="G279" s="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 ht="12.75" customHeight="1">
      <c r="A280" s="111"/>
      <c r="B280" s="111"/>
      <c r="C280" s="111"/>
      <c r="D280" s="1"/>
      <c r="E280" s="1"/>
      <c r="F280" s="1"/>
      <c r="G280" s="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 ht="12.75" customHeight="1">
      <c r="A281" s="111"/>
      <c r="B281" s="111"/>
      <c r="C281" s="111"/>
      <c r="D281" s="1"/>
      <c r="E281" s="1"/>
      <c r="F281" s="1"/>
      <c r="G281" s="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 ht="12.75" customHeight="1">
      <c r="A282" s="111"/>
      <c r="B282" s="111"/>
      <c r="C282" s="111"/>
      <c r="D282" s="1"/>
      <c r="E282" s="1"/>
      <c r="F282" s="1"/>
      <c r="G282" s="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 ht="12.75" customHeight="1">
      <c r="A283" s="111"/>
      <c r="B283" s="111"/>
      <c r="C283" s="111"/>
      <c r="D283" s="1"/>
      <c r="E283" s="1"/>
      <c r="F283" s="1"/>
      <c r="G283" s="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 ht="12.75" customHeight="1">
      <c r="A284" s="111"/>
      <c r="B284" s="111"/>
      <c r="C284" s="111"/>
      <c r="D284" s="1"/>
      <c r="E284" s="1"/>
      <c r="F284" s="1"/>
      <c r="G284" s="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 ht="12.75" customHeight="1">
      <c r="A285" s="111"/>
      <c r="B285" s="111"/>
      <c r="C285" s="111"/>
      <c r="D285" s="1"/>
      <c r="E285" s="1"/>
      <c r="F285" s="1"/>
      <c r="G285" s="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 ht="12.75" customHeight="1">
      <c r="A286" s="111"/>
      <c r="B286" s="111"/>
      <c r="C286" s="111"/>
      <c r="D286" s="1"/>
      <c r="E286" s="1"/>
      <c r="F286" s="1"/>
      <c r="G286" s="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 ht="12.75" customHeight="1">
      <c r="A287" s="111"/>
      <c r="B287" s="111"/>
      <c r="C287" s="111"/>
      <c r="D287" s="1"/>
      <c r="E287" s="1"/>
      <c r="F287" s="1"/>
      <c r="G287" s="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 ht="12.75" customHeight="1">
      <c r="A288" s="111"/>
      <c r="B288" s="111"/>
      <c r="C288" s="111"/>
      <c r="D288" s="1"/>
      <c r="E288" s="1"/>
      <c r="F288" s="1"/>
      <c r="G288" s="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 ht="12.75" customHeight="1">
      <c r="A289" s="111"/>
      <c r="B289" s="111"/>
      <c r="C289" s="111"/>
      <c r="D289" s="1"/>
      <c r="E289" s="1"/>
      <c r="F289" s="1"/>
      <c r="G289" s="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 ht="12.75" customHeight="1">
      <c r="A290" s="111"/>
      <c r="B290" s="111"/>
      <c r="C290" s="111"/>
      <c r="D290" s="1"/>
      <c r="E290" s="1"/>
      <c r="F290" s="1"/>
      <c r="G290" s="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 ht="12.75" customHeight="1">
      <c r="A291" s="111"/>
      <c r="B291" s="111"/>
      <c r="C291" s="111"/>
      <c r="D291" s="1"/>
      <c r="E291" s="1"/>
      <c r="F291" s="1"/>
      <c r="G291" s="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 ht="12.75" customHeight="1">
      <c r="A292" s="111"/>
      <c r="B292" s="111"/>
      <c r="C292" s="111"/>
      <c r="D292" s="1"/>
      <c r="E292" s="1"/>
      <c r="F292" s="1"/>
      <c r="G292" s="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 ht="12.75" customHeight="1">
      <c r="A293" s="111"/>
      <c r="B293" s="111"/>
      <c r="C293" s="111"/>
      <c r="D293" s="1"/>
      <c r="E293" s="1"/>
      <c r="F293" s="1"/>
      <c r="G293" s="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 ht="12.75" customHeight="1">
      <c r="A294" s="111"/>
      <c r="B294" s="111"/>
      <c r="C294" s="111"/>
      <c r="D294" s="1"/>
      <c r="E294" s="1"/>
      <c r="F294" s="1"/>
      <c r="G294" s="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 ht="12.75" customHeight="1">
      <c r="A295" s="111"/>
      <c r="B295" s="111"/>
      <c r="C295" s="111"/>
      <c r="D295" s="1"/>
      <c r="E295" s="1"/>
      <c r="F295" s="1"/>
      <c r="G295" s="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 ht="12.75" customHeight="1">
      <c r="A296" s="111"/>
      <c r="B296" s="111"/>
      <c r="C296" s="111"/>
      <c r="D296" s="1"/>
      <c r="E296" s="1"/>
      <c r="F296" s="1"/>
      <c r="G296" s="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 ht="12.75" customHeight="1">
      <c r="A297" s="111"/>
      <c r="B297" s="111"/>
      <c r="C297" s="111"/>
      <c r="D297" s="1"/>
      <c r="E297" s="1"/>
      <c r="F297" s="1"/>
      <c r="G297" s="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 ht="12.75" customHeight="1">
      <c r="A298" s="111"/>
      <c r="B298" s="111"/>
      <c r="C298" s="111"/>
      <c r="D298" s="1"/>
      <c r="E298" s="1"/>
      <c r="F298" s="1"/>
      <c r="G298" s="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 ht="12.75" customHeight="1">
      <c r="A299" s="111"/>
      <c r="B299" s="111"/>
      <c r="C299" s="111"/>
      <c r="D299" s="1"/>
      <c r="E299" s="1"/>
      <c r="F299" s="1"/>
      <c r="G299" s="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 ht="12.75" customHeight="1">
      <c r="A300" s="111"/>
      <c r="B300" s="111"/>
      <c r="C300" s="111"/>
      <c r="D300" s="1"/>
      <c r="E300" s="1"/>
      <c r="F300" s="1"/>
      <c r="G300" s="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 ht="12.75" customHeight="1">
      <c r="A301" s="111"/>
      <c r="B301" s="111"/>
      <c r="C301" s="111"/>
      <c r="D301" s="1"/>
      <c r="E301" s="1"/>
      <c r="F301" s="1"/>
      <c r="G301" s="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ht="12.75" customHeight="1">
      <c r="A302" s="111"/>
      <c r="B302" s="111"/>
      <c r="C302" s="111"/>
      <c r="D302" s="1"/>
      <c r="E302" s="1"/>
      <c r="F302" s="1"/>
      <c r="G302" s="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 ht="12.75" customHeight="1">
      <c r="A303" s="111"/>
      <c r="B303" s="111"/>
      <c r="C303" s="111"/>
      <c r="D303" s="1"/>
      <c r="E303" s="1"/>
      <c r="F303" s="1"/>
      <c r="G303" s="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 ht="12.75" customHeight="1">
      <c r="A304" s="111"/>
      <c r="B304" s="111"/>
      <c r="C304" s="111"/>
      <c r="D304" s="1"/>
      <c r="E304" s="1"/>
      <c r="F304" s="1"/>
      <c r="G304" s="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 ht="12.75" customHeight="1">
      <c r="A305" s="111"/>
      <c r="B305" s="111"/>
      <c r="C305" s="111"/>
      <c r="D305" s="1"/>
      <c r="E305" s="1"/>
      <c r="F305" s="1"/>
      <c r="G305" s="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 ht="12.75" customHeight="1">
      <c r="A306" s="111"/>
      <c r="B306" s="111"/>
      <c r="C306" s="111"/>
      <c r="D306" s="1"/>
      <c r="E306" s="1"/>
      <c r="F306" s="1"/>
      <c r="G306" s="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 ht="12.75" customHeight="1">
      <c r="A307" s="111"/>
      <c r="B307" s="111"/>
      <c r="C307" s="111"/>
      <c r="D307" s="1"/>
      <c r="E307" s="1"/>
      <c r="F307" s="1"/>
      <c r="G307" s="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 ht="12.75" customHeight="1">
      <c r="A308" s="111"/>
      <c r="B308" s="111"/>
      <c r="C308" s="111"/>
      <c r="D308" s="1"/>
      <c r="E308" s="1"/>
      <c r="F308" s="1"/>
      <c r="G308" s="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 ht="12.75" customHeight="1">
      <c r="A309" s="111"/>
      <c r="B309" s="111"/>
      <c r="C309" s="111"/>
      <c r="D309" s="1"/>
      <c r="E309" s="1"/>
      <c r="F309" s="1"/>
      <c r="G309" s="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 ht="12.75" customHeight="1">
      <c r="A310" s="111"/>
      <c r="B310" s="111"/>
      <c r="C310" s="111"/>
      <c r="D310" s="1"/>
      <c r="E310" s="1"/>
      <c r="F310" s="1"/>
      <c r="G310" s="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 ht="12.75" customHeight="1">
      <c r="A311" s="111"/>
      <c r="B311" s="111"/>
      <c r="C311" s="111"/>
      <c r="D311" s="1"/>
      <c r="E311" s="1"/>
      <c r="F311" s="1"/>
      <c r="G311" s="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 ht="12.75" customHeight="1">
      <c r="A312" s="111"/>
      <c r="B312" s="111"/>
      <c r="C312" s="111"/>
      <c r="D312" s="1"/>
      <c r="E312" s="1"/>
      <c r="F312" s="1"/>
      <c r="G312" s="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 ht="12.75" customHeight="1">
      <c r="A313" s="111"/>
      <c r="B313" s="111"/>
      <c r="C313" s="111"/>
      <c r="D313" s="1"/>
      <c r="E313" s="1"/>
      <c r="F313" s="1"/>
      <c r="G313" s="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 ht="12.75" customHeight="1">
      <c r="A314" s="111"/>
      <c r="B314" s="111"/>
      <c r="C314" s="111"/>
      <c r="D314" s="1"/>
      <c r="E314" s="1"/>
      <c r="F314" s="1"/>
      <c r="G314" s="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 ht="12.75" customHeight="1">
      <c r="A315" s="111"/>
      <c r="B315" s="111"/>
      <c r="C315" s="111"/>
      <c r="D315" s="1"/>
      <c r="E315" s="1"/>
      <c r="F315" s="1"/>
      <c r="G315" s="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 ht="12.75" customHeight="1">
      <c r="A316" s="111"/>
      <c r="B316" s="111"/>
      <c r="C316" s="111"/>
      <c r="D316" s="1"/>
      <c r="E316" s="1"/>
      <c r="F316" s="1"/>
      <c r="G316" s="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 ht="12.75" customHeight="1">
      <c r="A317" s="111"/>
      <c r="B317" s="111"/>
      <c r="C317" s="111"/>
      <c r="D317" s="1"/>
      <c r="E317" s="1"/>
      <c r="F317" s="1"/>
      <c r="G317" s="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 ht="12.75" customHeight="1">
      <c r="A318" s="111"/>
      <c r="B318" s="111"/>
      <c r="C318" s="111"/>
      <c r="D318" s="1"/>
      <c r="E318" s="1"/>
      <c r="F318" s="1"/>
      <c r="G318" s="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 ht="12.75" customHeight="1">
      <c r="A319" s="111"/>
      <c r="B319" s="111"/>
      <c r="C319" s="111"/>
      <c r="D319" s="1"/>
      <c r="E319" s="1"/>
      <c r="F319" s="1"/>
      <c r="G319" s="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 ht="12.75" customHeight="1">
      <c r="A320" s="111"/>
      <c r="B320" s="111"/>
      <c r="C320" s="111"/>
      <c r="D320" s="1"/>
      <c r="E320" s="1"/>
      <c r="F320" s="1"/>
      <c r="G320" s="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 ht="12.75" customHeight="1">
      <c r="A321" s="111"/>
      <c r="B321" s="111"/>
      <c r="C321" s="111"/>
      <c r="D321" s="1"/>
      <c r="E321" s="1"/>
      <c r="F321" s="1"/>
      <c r="G321" s="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 ht="12.75" customHeight="1">
      <c r="A322" s="111"/>
      <c r="B322" s="111"/>
      <c r="C322" s="111"/>
      <c r="D322" s="1"/>
      <c r="E322" s="1"/>
      <c r="F322" s="1"/>
      <c r="G322" s="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 ht="12.75" customHeight="1">
      <c r="A323" s="111"/>
      <c r="B323" s="111"/>
      <c r="C323" s="111"/>
      <c r="D323" s="1"/>
      <c r="E323" s="1"/>
      <c r="F323" s="1"/>
      <c r="G323" s="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 ht="12.75" customHeight="1">
      <c r="A324" s="111"/>
      <c r="B324" s="111"/>
      <c r="C324" s="111"/>
      <c r="D324" s="1"/>
      <c r="E324" s="1"/>
      <c r="F324" s="1"/>
      <c r="G324" s="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 ht="12.75" customHeight="1">
      <c r="A325" s="111"/>
      <c r="B325" s="111"/>
      <c r="C325" s="111"/>
      <c r="D325" s="1"/>
      <c r="E325" s="1"/>
      <c r="F325" s="1"/>
      <c r="G325" s="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 ht="12.75" customHeight="1">
      <c r="A326" s="111"/>
      <c r="B326" s="111"/>
      <c r="C326" s="111"/>
      <c r="D326" s="1"/>
      <c r="E326" s="1"/>
      <c r="F326" s="1"/>
      <c r="G326" s="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 ht="12.75" customHeight="1">
      <c r="A327" s="111"/>
      <c r="B327" s="111"/>
      <c r="C327" s="111"/>
      <c r="D327" s="1"/>
      <c r="E327" s="1"/>
      <c r="F327" s="1"/>
      <c r="G327" s="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 ht="12.75" customHeight="1">
      <c r="A328" s="111"/>
      <c r="B328" s="111"/>
      <c r="C328" s="111"/>
      <c r="D328" s="1"/>
      <c r="E328" s="1"/>
      <c r="F328" s="1"/>
      <c r="G328" s="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 ht="12.75" customHeight="1">
      <c r="A329" s="111"/>
      <c r="B329" s="111"/>
      <c r="C329" s="111"/>
      <c r="D329" s="1"/>
      <c r="E329" s="1"/>
      <c r="F329" s="1"/>
      <c r="G329" s="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 ht="12.75" customHeight="1">
      <c r="A330" s="111"/>
      <c r="B330" s="111"/>
      <c r="C330" s="111"/>
      <c r="D330" s="1"/>
      <c r="E330" s="1"/>
      <c r="F330" s="1"/>
      <c r="G330" s="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 ht="12.75" customHeight="1">
      <c r="A331" s="111"/>
      <c r="B331" s="111"/>
      <c r="C331" s="111"/>
      <c r="D331" s="1"/>
      <c r="E331" s="1"/>
      <c r="F331" s="1"/>
      <c r="G331" s="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 ht="12.75" customHeight="1">
      <c r="A332" s="111"/>
      <c r="B332" s="111"/>
      <c r="C332" s="111"/>
      <c r="D332" s="1"/>
      <c r="E332" s="1"/>
      <c r="F332" s="1"/>
      <c r="G332" s="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 ht="12.75" customHeight="1">
      <c r="A333" s="111"/>
      <c r="B333" s="111"/>
      <c r="C333" s="111"/>
      <c r="D333" s="1"/>
      <c r="E333" s="1"/>
      <c r="F333" s="1"/>
      <c r="G333" s="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 ht="12.75" customHeight="1">
      <c r="A334" s="111"/>
      <c r="B334" s="111"/>
      <c r="C334" s="111"/>
      <c r="D334" s="1"/>
      <c r="E334" s="1"/>
      <c r="F334" s="1"/>
      <c r="G334" s="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 ht="12.75" customHeight="1">
      <c r="A335" s="111"/>
      <c r="B335" s="111"/>
      <c r="C335" s="111"/>
      <c r="D335" s="1"/>
      <c r="E335" s="1"/>
      <c r="F335" s="1"/>
      <c r="G335" s="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 ht="12.75" customHeight="1">
      <c r="A336" s="111"/>
      <c r="B336" s="111"/>
      <c r="C336" s="111"/>
      <c r="D336" s="1"/>
      <c r="E336" s="1"/>
      <c r="F336" s="1"/>
      <c r="G336" s="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 ht="12.75" customHeight="1">
      <c r="A337" s="111"/>
      <c r="B337" s="111"/>
      <c r="C337" s="111"/>
      <c r="D337" s="1"/>
      <c r="E337" s="1"/>
      <c r="F337" s="1"/>
      <c r="G337" s="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 ht="12.75" customHeight="1">
      <c r="A338" s="111"/>
      <c r="B338" s="111"/>
      <c r="C338" s="111"/>
      <c r="D338" s="1"/>
      <c r="E338" s="1"/>
      <c r="F338" s="1"/>
      <c r="G338" s="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 ht="12.75" customHeight="1">
      <c r="A339" s="111"/>
      <c r="B339" s="111"/>
      <c r="C339" s="111"/>
      <c r="D339" s="1"/>
      <c r="E339" s="1"/>
      <c r="F339" s="1"/>
      <c r="G339" s="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 ht="12.75" customHeight="1">
      <c r="A340" s="111"/>
      <c r="B340" s="111"/>
      <c r="C340" s="111"/>
      <c r="D340" s="1"/>
      <c r="E340" s="1"/>
      <c r="F340" s="1"/>
      <c r="G340" s="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 ht="12.75" customHeight="1">
      <c r="A341" s="111"/>
      <c r="B341" s="111"/>
      <c r="C341" s="111"/>
      <c r="D341" s="1"/>
      <c r="E341" s="1"/>
      <c r="F341" s="1"/>
      <c r="G341" s="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 ht="12.75" customHeight="1">
      <c r="A342" s="111"/>
      <c r="B342" s="111"/>
      <c r="C342" s="111"/>
      <c r="D342" s="1"/>
      <c r="E342" s="1"/>
      <c r="F342" s="1"/>
      <c r="G342" s="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 ht="12.75" customHeight="1">
      <c r="A343" s="111"/>
      <c r="B343" s="111"/>
      <c r="C343" s="111"/>
      <c r="D343" s="1"/>
      <c r="E343" s="1"/>
      <c r="F343" s="1"/>
      <c r="G343" s="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 ht="12.75" customHeight="1">
      <c r="A344" s="111"/>
      <c r="B344" s="111"/>
      <c r="C344" s="111"/>
      <c r="D344" s="1"/>
      <c r="E344" s="1"/>
      <c r="F344" s="1"/>
      <c r="G344" s="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 ht="12.75" customHeight="1">
      <c r="A345" s="111"/>
      <c r="B345" s="111"/>
      <c r="C345" s="111"/>
      <c r="D345" s="1"/>
      <c r="E345" s="1"/>
      <c r="F345" s="1"/>
      <c r="G345" s="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 ht="12.75" customHeight="1">
      <c r="A346" s="111"/>
      <c r="B346" s="111"/>
      <c r="C346" s="111"/>
      <c r="D346" s="1"/>
      <c r="E346" s="1"/>
      <c r="F346" s="1"/>
      <c r="G346" s="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 ht="12.75" customHeight="1">
      <c r="A347" s="111"/>
      <c r="B347" s="111"/>
      <c r="C347" s="111"/>
      <c r="D347" s="1"/>
      <c r="E347" s="1"/>
      <c r="F347" s="1"/>
      <c r="G347" s="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 ht="12.75" customHeight="1">
      <c r="A348" s="111"/>
      <c r="B348" s="111"/>
      <c r="C348" s="111"/>
      <c r="D348" s="1"/>
      <c r="E348" s="1"/>
      <c r="F348" s="1"/>
      <c r="G348" s="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 ht="12.75" customHeight="1">
      <c r="A349" s="111"/>
      <c r="B349" s="111"/>
      <c r="C349" s="111"/>
      <c r="D349" s="1"/>
      <c r="E349" s="1"/>
      <c r="F349" s="1"/>
      <c r="G349" s="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 ht="12.75" customHeight="1">
      <c r="A350" s="111"/>
      <c r="B350" s="111"/>
      <c r="C350" s="111"/>
      <c r="D350" s="1"/>
      <c r="E350" s="1"/>
      <c r="F350" s="1"/>
      <c r="G350" s="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 ht="12.75" customHeight="1">
      <c r="A351" s="111"/>
      <c r="B351" s="111"/>
      <c r="C351" s="111"/>
      <c r="D351" s="1"/>
      <c r="E351" s="1"/>
      <c r="F351" s="1"/>
      <c r="G351" s="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 ht="12.75" customHeight="1">
      <c r="A352" s="111"/>
      <c r="B352" s="111"/>
      <c r="C352" s="111"/>
      <c r="D352" s="1"/>
      <c r="E352" s="1"/>
      <c r="F352" s="1"/>
      <c r="G352" s="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 ht="12.75" customHeight="1">
      <c r="A353" s="111"/>
      <c r="B353" s="111"/>
      <c r="C353" s="111"/>
      <c r="D353" s="1"/>
      <c r="E353" s="1"/>
      <c r="F353" s="1"/>
      <c r="G353" s="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 ht="12.75" customHeight="1">
      <c r="A354" s="111"/>
      <c r="B354" s="111"/>
      <c r="C354" s="111"/>
      <c r="D354" s="1"/>
      <c r="E354" s="1"/>
      <c r="F354" s="1"/>
      <c r="G354" s="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 ht="12.75" customHeight="1">
      <c r="A355" s="111"/>
      <c r="B355" s="111"/>
      <c r="C355" s="111"/>
      <c r="D355" s="1"/>
      <c r="E355" s="1"/>
      <c r="F355" s="1"/>
      <c r="G355" s="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 ht="12.75" customHeight="1">
      <c r="A356" s="111"/>
      <c r="B356" s="111"/>
      <c r="C356" s="111"/>
      <c r="D356" s="1"/>
      <c r="E356" s="1"/>
      <c r="F356" s="1"/>
      <c r="G356" s="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 ht="12.75" customHeight="1">
      <c r="A357" s="111"/>
      <c r="B357" s="111"/>
      <c r="C357" s="111"/>
      <c r="D357" s="1"/>
      <c r="E357" s="1"/>
      <c r="F357" s="1"/>
      <c r="G357" s="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 ht="12.75" customHeight="1">
      <c r="A358" s="111"/>
      <c r="B358" s="111"/>
      <c r="C358" s="111"/>
      <c r="D358" s="1"/>
      <c r="E358" s="1"/>
      <c r="F358" s="1"/>
      <c r="G358" s="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 ht="12.75" customHeight="1">
      <c r="A359" s="111"/>
      <c r="B359" s="111"/>
      <c r="C359" s="111"/>
      <c r="D359" s="1"/>
      <c r="E359" s="1"/>
      <c r="F359" s="1"/>
      <c r="G359" s="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 ht="12.75" customHeight="1">
      <c r="A360" s="111"/>
      <c r="B360" s="111"/>
      <c r="C360" s="111"/>
      <c r="D360" s="1"/>
      <c r="E360" s="1"/>
      <c r="F360" s="1"/>
      <c r="G360" s="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 ht="12.75" customHeight="1">
      <c r="A361" s="111"/>
      <c r="B361" s="111"/>
      <c r="C361" s="111"/>
      <c r="D361" s="1"/>
      <c r="E361" s="1"/>
      <c r="F361" s="1"/>
      <c r="G361" s="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 ht="12.75" customHeight="1">
      <c r="A362" s="111"/>
      <c r="B362" s="111"/>
      <c r="C362" s="111"/>
      <c r="D362" s="1"/>
      <c r="E362" s="1"/>
      <c r="F362" s="1"/>
      <c r="G362" s="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 ht="12.75" customHeight="1">
      <c r="A363" s="111"/>
      <c r="B363" s="111"/>
      <c r="C363" s="111"/>
      <c r="D363" s="1"/>
      <c r="E363" s="1"/>
      <c r="F363" s="1"/>
      <c r="G363" s="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 ht="12.75" customHeight="1">
      <c r="A364" s="111"/>
      <c r="B364" s="111"/>
      <c r="C364" s="111"/>
      <c r="D364" s="1"/>
      <c r="E364" s="1"/>
      <c r="F364" s="1"/>
      <c r="G364" s="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 ht="12.75" customHeight="1">
      <c r="A365" s="111"/>
      <c r="B365" s="111"/>
      <c r="C365" s="111"/>
      <c r="D365" s="1"/>
      <c r="E365" s="1"/>
      <c r="F365" s="1"/>
      <c r="G365" s="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 ht="12.75" customHeight="1">
      <c r="A366" s="111"/>
      <c r="B366" s="111"/>
      <c r="C366" s="111"/>
      <c r="D366" s="1"/>
      <c r="E366" s="1"/>
      <c r="F366" s="1"/>
      <c r="G366" s="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 ht="12.75" customHeight="1">
      <c r="A367" s="111"/>
      <c r="B367" s="111"/>
      <c r="C367" s="111"/>
      <c r="D367" s="1"/>
      <c r="E367" s="1"/>
      <c r="F367" s="1"/>
      <c r="G367" s="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 ht="12.75" customHeight="1">
      <c r="A368" s="111"/>
      <c r="B368" s="111"/>
      <c r="C368" s="111"/>
      <c r="D368" s="1"/>
      <c r="E368" s="1"/>
      <c r="F368" s="1"/>
      <c r="G368" s="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 ht="12.75" customHeight="1">
      <c r="A369" s="111"/>
      <c r="B369" s="111"/>
      <c r="C369" s="111"/>
      <c r="D369" s="1"/>
      <c r="E369" s="1"/>
      <c r="F369" s="1"/>
      <c r="G369" s="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 ht="12.75" customHeight="1">
      <c r="A370" s="111"/>
      <c r="B370" s="111"/>
      <c r="C370" s="111"/>
      <c r="D370" s="1"/>
      <c r="E370" s="1"/>
      <c r="F370" s="1"/>
      <c r="G370" s="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 ht="12.75" customHeight="1">
      <c r="A371" s="111"/>
      <c r="B371" s="111"/>
      <c r="C371" s="111"/>
      <c r="D371" s="1"/>
      <c r="E371" s="1"/>
      <c r="F371" s="1"/>
      <c r="G371" s="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 ht="12.75" customHeight="1">
      <c r="A372" s="111"/>
      <c r="B372" s="111"/>
      <c r="C372" s="111"/>
      <c r="D372" s="1"/>
      <c r="E372" s="1"/>
      <c r="F372" s="1"/>
      <c r="G372" s="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 ht="12.75" customHeight="1">
      <c r="A373" s="111"/>
      <c r="B373" s="111"/>
      <c r="C373" s="111"/>
      <c r="D373" s="1"/>
      <c r="E373" s="1"/>
      <c r="F373" s="1"/>
      <c r="G373" s="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 ht="12.75" customHeight="1">
      <c r="A374" s="111"/>
      <c r="B374" s="111"/>
      <c r="C374" s="111"/>
      <c r="D374" s="1"/>
      <c r="E374" s="1"/>
      <c r="F374" s="1"/>
      <c r="G374" s="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 ht="12.75" customHeight="1">
      <c r="A375" s="111"/>
      <c r="B375" s="111"/>
      <c r="C375" s="111"/>
      <c r="D375" s="1"/>
      <c r="E375" s="1"/>
      <c r="F375" s="1"/>
      <c r="G375" s="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 ht="12.75" customHeight="1">
      <c r="A376" s="111"/>
      <c r="B376" s="111"/>
      <c r="C376" s="111"/>
      <c r="D376" s="1"/>
      <c r="E376" s="1"/>
      <c r="F376" s="1"/>
      <c r="G376" s="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 ht="12.75" customHeight="1">
      <c r="A377" s="111"/>
      <c r="B377" s="111"/>
      <c r="C377" s="111"/>
      <c r="D377" s="1"/>
      <c r="E377" s="1"/>
      <c r="F377" s="1"/>
      <c r="G377" s="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 ht="12.75" customHeight="1">
      <c r="A378" s="111"/>
      <c r="B378" s="111"/>
      <c r="C378" s="111"/>
      <c r="D378" s="1"/>
      <c r="E378" s="1"/>
      <c r="F378" s="1"/>
      <c r="G378" s="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 ht="12.75" customHeight="1">
      <c r="A379" s="111"/>
      <c r="B379" s="111"/>
      <c r="C379" s="111"/>
      <c r="D379" s="1"/>
      <c r="E379" s="1"/>
      <c r="F379" s="1"/>
      <c r="G379" s="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 ht="12.75" customHeight="1">
      <c r="A380" s="111"/>
      <c r="B380" s="111"/>
      <c r="C380" s="111"/>
      <c r="D380" s="1"/>
      <c r="E380" s="1"/>
      <c r="F380" s="1"/>
      <c r="G380" s="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 ht="12.75" customHeight="1">
      <c r="A381" s="111"/>
      <c r="B381" s="111"/>
      <c r="C381" s="111"/>
      <c r="D381" s="1"/>
      <c r="E381" s="1"/>
      <c r="F381" s="1"/>
      <c r="G381" s="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 ht="12.75" customHeight="1">
      <c r="A382" s="111"/>
      <c r="B382" s="111"/>
      <c r="C382" s="111"/>
      <c r="D382" s="1"/>
      <c r="E382" s="1"/>
      <c r="F382" s="1"/>
      <c r="G382" s="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 ht="12.75" customHeight="1">
      <c r="A383" s="111"/>
      <c r="B383" s="111"/>
      <c r="C383" s="111"/>
      <c r="D383" s="1"/>
      <c r="E383" s="1"/>
      <c r="F383" s="1"/>
      <c r="G383" s="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 ht="12.75" customHeight="1">
      <c r="A384" s="111"/>
      <c r="B384" s="111"/>
      <c r="C384" s="111"/>
      <c r="D384" s="1"/>
      <c r="E384" s="1"/>
      <c r="F384" s="1"/>
      <c r="G384" s="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 ht="12.75" customHeight="1">
      <c r="A385" s="111"/>
      <c r="B385" s="111"/>
      <c r="C385" s="111"/>
      <c r="D385" s="1"/>
      <c r="E385" s="1"/>
      <c r="F385" s="1"/>
      <c r="G385" s="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 ht="12.75" customHeight="1">
      <c r="A386" s="111"/>
      <c r="B386" s="111"/>
      <c r="C386" s="111"/>
      <c r="D386" s="1"/>
      <c r="E386" s="1"/>
      <c r="F386" s="1"/>
      <c r="G386" s="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 ht="12.75" customHeight="1">
      <c r="A387" s="111"/>
      <c r="B387" s="111"/>
      <c r="C387" s="111"/>
      <c r="D387" s="1"/>
      <c r="E387" s="1"/>
      <c r="F387" s="1"/>
      <c r="G387" s="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 ht="12.75" customHeight="1">
      <c r="A388" s="111"/>
      <c r="B388" s="111"/>
      <c r="C388" s="111"/>
      <c r="D388" s="1"/>
      <c r="E388" s="1"/>
      <c r="F388" s="1"/>
      <c r="G388" s="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 ht="12.75" customHeight="1">
      <c r="A389" s="111"/>
      <c r="B389" s="111"/>
      <c r="C389" s="111"/>
      <c r="D389" s="1"/>
      <c r="E389" s="1"/>
      <c r="F389" s="1"/>
      <c r="G389" s="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 ht="12.75" customHeight="1">
      <c r="A390" s="111"/>
      <c r="B390" s="111"/>
      <c r="C390" s="111"/>
      <c r="D390" s="1"/>
      <c r="E390" s="1"/>
      <c r="F390" s="1"/>
      <c r="G390" s="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 ht="12.75" customHeight="1">
      <c r="A391" s="111"/>
      <c r="B391" s="111"/>
      <c r="C391" s="111"/>
      <c r="D391" s="1"/>
      <c r="E391" s="1"/>
      <c r="F391" s="1"/>
      <c r="G391" s="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 ht="12.75" customHeight="1">
      <c r="A392" s="111"/>
      <c r="B392" s="111"/>
      <c r="C392" s="111"/>
      <c r="D392" s="1"/>
      <c r="E392" s="1"/>
      <c r="F392" s="1"/>
      <c r="G392" s="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 ht="12.75" customHeight="1">
      <c r="A393" s="111"/>
      <c r="B393" s="111"/>
      <c r="C393" s="111"/>
      <c r="D393" s="1"/>
      <c r="E393" s="1"/>
      <c r="F393" s="1"/>
      <c r="G393" s="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 ht="12.75" customHeight="1">
      <c r="A394" s="111"/>
      <c r="B394" s="111"/>
      <c r="C394" s="111"/>
      <c r="D394" s="1"/>
      <c r="E394" s="1"/>
      <c r="F394" s="1"/>
      <c r="G394" s="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 ht="12.75" customHeight="1">
      <c r="A395" s="111"/>
      <c r="B395" s="111"/>
      <c r="C395" s="111"/>
      <c r="D395" s="1"/>
      <c r="E395" s="1"/>
      <c r="F395" s="1"/>
      <c r="G395" s="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 ht="12.75" customHeight="1">
      <c r="A396" s="111"/>
      <c r="B396" s="111"/>
      <c r="C396" s="111"/>
      <c r="D396" s="1"/>
      <c r="E396" s="1"/>
      <c r="F396" s="1"/>
      <c r="G396" s="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 ht="12.75" customHeight="1">
      <c r="A397" s="111"/>
      <c r="B397" s="111"/>
      <c r="C397" s="111"/>
      <c r="D397" s="1"/>
      <c r="E397" s="1"/>
      <c r="F397" s="1"/>
      <c r="G397" s="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 ht="12.75" customHeight="1">
      <c r="A398" s="111"/>
      <c r="B398" s="111"/>
      <c r="C398" s="111"/>
      <c r="D398" s="1"/>
      <c r="E398" s="1"/>
      <c r="F398" s="1"/>
      <c r="G398" s="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 ht="12.75" customHeight="1">
      <c r="A399" s="111"/>
      <c r="B399" s="111"/>
      <c r="C399" s="111"/>
      <c r="D399" s="1"/>
      <c r="E399" s="1"/>
      <c r="F399" s="1"/>
      <c r="G399" s="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 ht="12.75" customHeight="1">
      <c r="A400" s="111"/>
      <c r="B400" s="111"/>
      <c r="C400" s="111"/>
      <c r="D400" s="1"/>
      <c r="E400" s="1"/>
      <c r="F400" s="1"/>
      <c r="G400" s="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 ht="12.75" customHeight="1">
      <c r="A401" s="111"/>
      <c r="B401" s="111"/>
      <c r="C401" s="111"/>
      <c r="D401" s="1"/>
      <c r="E401" s="1"/>
      <c r="F401" s="1"/>
      <c r="G401" s="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 ht="12.75" customHeight="1">
      <c r="A402" s="111"/>
      <c r="B402" s="111"/>
      <c r="C402" s="111"/>
      <c r="D402" s="1"/>
      <c r="E402" s="1"/>
      <c r="F402" s="1"/>
      <c r="G402" s="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 ht="12.75" customHeight="1">
      <c r="A403" s="111"/>
      <c r="B403" s="111"/>
      <c r="C403" s="111"/>
      <c r="D403" s="1"/>
      <c r="E403" s="1"/>
      <c r="F403" s="1"/>
      <c r="G403" s="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 ht="12.75" customHeight="1">
      <c r="A404" s="111"/>
      <c r="B404" s="111"/>
      <c r="C404" s="111"/>
      <c r="D404" s="1"/>
      <c r="E404" s="1"/>
      <c r="F404" s="1"/>
      <c r="G404" s="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 ht="12.75" customHeight="1">
      <c r="A405" s="111"/>
      <c r="B405" s="111"/>
      <c r="C405" s="111"/>
      <c r="D405" s="1"/>
      <c r="E405" s="1"/>
      <c r="F405" s="1"/>
      <c r="G405" s="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 ht="12.75" customHeight="1">
      <c r="A406" s="111"/>
      <c r="B406" s="111"/>
      <c r="C406" s="111"/>
      <c r="D406" s="1"/>
      <c r="E406" s="1"/>
      <c r="F406" s="1"/>
      <c r="G406" s="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 ht="12.75" customHeight="1">
      <c r="A407" s="111"/>
      <c r="B407" s="111"/>
      <c r="C407" s="111"/>
      <c r="D407" s="1"/>
      <c r="E407" s="1"/>
      <c r="F407" s="1"/>
      <c r="G407" s="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 ht="12.75" customHeight="1">
      <c r="A408" s="111"/>
      <c r="B408" s="111"/>
      <c r="C408" s="111"/>
      <c r="D408" s="1"/>
      <c r="E408" s="1"/>
      <c r="F408" s="1"/>
      <c r="G408" s="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 ht="12.75" customHeight="1">
      <c r="A409" s="111"/>
      <c r="B409" s="111"/>
      <c r="C409" s="111"/>
      <c r="D409" s="1"/>
      <c r="E409" s="1"/>
      <c r="F409" s="1"/>
      <c r="G409" s="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 ht="12.75" customHeight="1">
      <c r="A410" s="111"/>
      <c r="B410" s="111"/>
      <c r="C410" s="111"/>
      <c r="D410" s="1"/>
      <c r="E410" s="1"/>
      <c r="F410" s="1"/>
      <c r="G410" s="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 ht="12.75" customHeight="1">
      <c r="A411" s="111"/>
      <c r="B411" s="111"/>
      <c r="C411" s="111"/>
      <c r="D411" s="1"/>
      <c r="E411" s="1"/>
      <c r="F411" s="1"/>
      <c r="G411" s="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 ht="12.75" customHeight="1">
      <c r="A412" s="111"/>
      <c r="B412" s="111"/>
      <c r="C412" s="111"/>
      <c r="D412" s="1"/>
      <c r="E412" s="1"/>
      <c r="F412" s="1"/>
      <c r="G412" s="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 ht="12.75" customHeight="1">
      <c r="A413" s="111"/>
      <c r="B413" s="111"/>
      <c r="C413" s="111"/>
      <c r="D413" s="1"/>
      <c r="E413" s="1"/>
      <c r="F413" s="1"/>
      <c r="G413" s="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 ht="12.75" customHeight="1">
      <c r="A414" s="111"/>
      <c r="B414" s="111"/>
      <c r="C414" s="111"/>
      <c r="D414" s="1"/>
      <c r="E414" s="1"/>
      <c r="F414" s="1"/>
      <c r="G414" s="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 ht="12.75" customHeight="1">
      <c r="A415" s="111"/>
      <c r="B415" s="111"/>
      <c r="C415" s="111"/>
      <c r="D415" s="1"/>
      <c r="E415" s="1"/>
      <c r="F415" s="1"/>
      <c r="G415" s="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 ht="12.75" customHeight="1">
      <c r="A416" s="111"/>
      <c r="B416" s="111"/>
      <c r="C416" s="111"/>
      <c r="D416" s="1"/>
      <c r="E416" s="1"/>
      <c r="F416" s="1"/>
      <c r="G416" s="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 ht="12.75" customHeight="1">
      <c r="A417" s="111"/>
      <c r="B417" s="111"/>
      <c r="C417" s="111"/>
      <c r="D417" s="1"/>
      <c r="E417" s="1"/>
      <c r="F417" s="1"/>
      <c r="G417" s="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 ht="12.75" customHeight="1">
      <c r="A418" s="111"/>
      <c r="B418" s="111"/>
      <c r="C418" s="111"/>
      <c r="D418" s="1"/>
      <c r="E418" s="1"/>
      <c r="F418" s="1"/>
      <c r="G418" s="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 ht="12.75" customHeight="1">
      <c r="A419" s="111"/>
      <c r="B419" s="111"/>
      <c r="C419" s="111"/>
      <c r="D419" s="1"/>
      <c r="E419" s="1"/>
      <c r="F419" s="1"/>
      <c r="G419" s="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 ht="12.75" customHeight="1">
      <c r="A420" s="111"/>
      <c r="B420" s="111"/>
      <c r="C420" s="111"/>
      <c r="D420" s="1"/>
      <c r="E420" s="1"/>
      <c r="F420" s="1"/>
      <c r="G420" s="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 ht="12.75" customHeight="1">
      <c r="A421" s="111"/>
      <c r="B421" s="111"/>
      <c r="C421" s="111"/>
      <c r="D421" s="1"/>
      <c r="E421" s="1"/>
      <c r="F421" s="1"/>
      <c r="G421" s="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 ht="12.75" customHeight="1">
      <c r="A422" s="111"/>
      <c r="B422" s="111"/>
      <c r="C422" s="111"/>
      <c r="D422" s="1"/>
      <c r="E422" s="1"/>
      <c r="F422" s="1"/>
      <c r="G422" s="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 ht="12.75" customHeight="1">
      <c r="A423" s="111"/>
      <c r="B423" s="111"/>
      <c r="C423" s="111"/>
      <c r="D423" s="1"/>
      <c r="E423" s="1"/>
      <c r="F423" s="1"/>
      <c r="G423" s="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 ht="12.75" customHeight="1">
      <c r="A424" s="111"/>
      <c r="B424" s="111"/>
      <c r="C424" s="111"/>
      <c r="D424" s="1"/>
      <c r="E424" s="1"/>
      <c r="F424" s="1"/>
      <c r="G424" s="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 ht="12.75" customHeight="1">
      <c r="A425" s="111"/>
      <c r="B425" s="111"/>
      <c r="C425" s="111"/>
      <c r="D425" s="1"/>
      <c r="E425" s="1"/>
      <c r="F425" s="1"/>
      <c r="G425" s="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 ht="12.75" customHeight="1">
      <c r="A426" s="111"/>
      <c r="B426" s="111"/>
      <c r="C426" s="111"/>
      <c r="D426" s="1"/>
      <c r="E426" s="1"/>
      <c r="F426" s="1"/>
      <c r="G426" s="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 ht="12.75" customHeight="1">
      <c r="A427" s="111"/>
      <c r="B427" s="111"/>
      <c r="C427" s="111"/>
      <c r="D427" s="1"/>
      <c r="E427" s="1"/>
      <c r="F427" s="1"/>
      <c r="G427" s="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 ht="12.75" customHeight="1">
      <c r="A428" s="111"/>
      <c r="B428" s="111"/>
      <c r="C428" s="111"/>
      <c r="D428" s="1"/>
      <c r="E428" s="1"/>
      <c r="F428" s="1"/>
      <c r="G428" s="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 ht="12.75" customHeight="1">
      <c r="A429" s="111"/>
      <c r="B429" s="111"/>
      <c r="C429" s="111"/>
      <c r="D429" s="1"/>
      <c r="E429" s="1"/>
      <c r="F429" s="1"/>
      <c r="G429" s="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 ht="12.75" customHeight="1">
      <c r="A430" s="111"/>
      <c r="B430" s="111"/>
      <c r="C430" s="111"/>
      <c r="D430" s="1"/>
      <c r="E430" s="1"/>
      <c r="F430" s="1"/>
      <c r="G430" s="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 ht="12.75" customHeight="1">
      <c r="A431" s="111"/>
      <c r="B431" s="111"/>
      <c r="C431" s="111"/>
      <c r="D431" s="1"/>
      <c r="E431" s="1"/>
      <c r="F431" s="1"/>
      <c r="G431" s="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 ht="12.75" customHeight="1">
      <c r="A432" s="111"/>
      <c r="B432" s="111"/>
      <c r="C432" s="111"/>
      <c r="D432" s="1"/>
      <c r="E432" s="1"/>
      <c r="F432" s="1"/>
      <c r="G432" s="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 ht="12.75" customHeight="1">
      <c r="A433" s="111"/>
      <c r="B433" s="111"/>
      <c r="C433" s="111"/>
      <c r="D433" s="1"/>
      <c r="E433" s="1"/>
      <c r="F433" s="1"/>
      <c r="G433" s="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 ht="12.75" customHeight="1">
      <c r="A434" s="111"/>
      <c r="B434" s="111"/>
      <c r="C434" s="111"/>
      <c r="D434" s="1"/>
      <c r="E434" s="1"/>
      <c r="F434" s="1"/>
      <c r="G434" s="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 ht="12.75" customHeight="1">
      <c r="A435" s="111"/>
      <c r="B435" s="111"/>
      <c r="C435" s="111"/>
      <c r="D435" s="1"/>
      <c r="E435" s="1"/>
      <c r="F435" s="1"/>
      <c r="G435" s="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 ht="12.75" customHeight="1">
      <c r="A436" s="111"/>
      <c r="B436" s="111"/>
      <c r="C436" s="111"/>
      <c r="D436" s="1"/>
      <c r="E436" s="1"/>
      <c r="F436" s="1"/>
      <c r="G436" s="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 ht="12.75" customHeight="1">
      <c r="A437" s="111"/>
      <c r="B437" s="111"/>
      <c r="C437" s="111"/>
      <c r="D437" s="1"/>
      <c r="E437" s="1"/>
      <c r="F437" s="1"/>
      <c r="G437" s="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 ht="12.75" customHeight="1">
      <c r="A438" s="111"/>
      <c r="B438" s="111"/>
      <c r="C438" s="111"/>
      <c r="D438" s="1"/>
      <c r="E438" s="1"/>
      <c r="F438" s="1"/>
      <c r="G438" s="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 ht="12.75" customHeight="1">
      <c r="A439" s="111"/>
      <c r="B439" s="111"/>
      <c r="C439" s="111"/>
      <c r="D439" s="1"/>
      <c r="E439" s="1"/>
      <c r="F439" s="1"/>
      <c r="G439" s="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 ht="12.75" customHeight="1">
      <c r="A440" s="111"/>
      <c r="B440" s="111"/>
      <c r="C440" s="111"/>
      <c r="D440" s="1"/>
      <c r="E440" s="1"/>
      <c r="F440" s="1"/>
      <c r="G440" s="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 ht="12.75" customHeight="1">
      <c r="A441" s="111"/>
      <c r="B441" s="111"/>
      <c r="C441" s="111"/>
      <c r="D441" s="1"/>
      <c r="E441" s="1"/>
      <c r="F441" s="1"/>
      <c r="G441" s="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 ht="12.75" customHeight="1">
      <c r="A442" s="111"/>
      <c r="B442" s="111"/>
      <c r="C442" s="111"/>
      <c r="D442" s="1"/>
      <c r="E442" s="1"/>
      <c r="F442" s="1"/>
      <c r="G442" s="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 ht="12.75" customHeight="1">
      <c r="A443" s="111"/>
      <c r="B443" s="111"/>
      <c r="C443" s="111"/>
      <c r="D443" s="1"/>
      <c r="E443" s="1"/>
      <c r="F443" s="1"/>
      <c r="G443" s="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 ht="12.75" customHeight="1">
      <c r="A444" s="111"/>
      <c r="B444" s="111"/>
      <c r="C444" s="111"/>
      <c r="D444" s="1"/>
      <c r="E444" s="1"/>
      <c r="F444" s="1"/>
      <c r="G444" s="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 ht="12.75" customHeight="1">
      <c r="A445" s="111"/>
      <c r="B445" s="111"/>
      <c r="C445" s="111"/>
      <c r="D445" s="1"/>
      <c r="E445" s="1"/>
      <c r="F445" s="1"/>
      <c r="G445" s="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 ht="12.75" customHeight="1">
      <c r="A446" s="111"/>
      <c r="B446" s="111"/>
      <c r="C446" s="111"/>
      <c r="D446" s="1"/>
      <c r="E446" s="1"/>
      <c r="F446" s="1"/>
      <c r="G446" s="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 ht="12.75" customHeight="1">
      <c r="A447" s="111"/>
      <c r="B447" s="111"/>
      <c r="C447" s="111"/>
      <c r="D447" s="1"/>
      <c r="E447" s="1"/>
      <c r="F447" s="1"/>
      <c r="G447" s="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 ht="12.75" customHeight="1">
      <c r="A448" s="111"/>
      <c r="B448" s="111"/>
      <c r="C448" s="111"/>
      <c r="D448" s="1"/>
      <c r="E448" s="1"/>
      <c r="F448" s="1"/>
      <c r="G448" s="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 ht="12.75" customHeight="1">
      <c r="A449" s="111"/>
      <c r="B449" s="111"/>
      <c r="C449" s="111"/>
      <c r="D449" s="1"/>
      <c r="E449" s="1"/>
      <c r="F449" s="1"/>
      <c r="G449" s="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 ht="12.75" customHeight="1">
      <c r="A450" s="111"/>
      <c r="B450" s="111"/>
      <c r="C450" s="111"/>
      <c r="D450" s="1"/>
      <c r="E450" s="1"/>
      <c r="F450" s="1"/>
      <c r="G450" s="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 ht="12.75" customHeight="1">
      <c r="A451" s="111"/>
      <c r="B451" s="111"/>
      <c r="C451" s="111"/>
      <c r="D451" s="1"/>
      <c r="E451" s="1"/>
      <c r="F451" s="1"/>
      <c r="G451" s="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 ht="12.75" customHeight="1">
      <c r="A452" s="111"/>
      <c r="B452" s="111"/>
      <c r="C452" s="111"/>
      <c r="D452" s="1"/>
      <c r="E452" s="1"/>
      <c r="F452" s="1"/>
      <c r="G452" s="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 ht="12.75" customHeight="1">
      <c r="A453" s="111"/>
      <c r="B453" s="111"/>
      <c r="C453" s="111"/>
      <c r="D453" s="1"/>
      <c r="E453" s="1"/>
      <c r="F453" s="1"/>
      <c r="G453" s="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 ht="12.75" customHeight="1">
      <c r="A454" s="111"/>
      <c r="B454" s="111"/>
      <c r="C454" s="111"/>
      <c r="D454" s="1"/>
      <c r="E454" s="1"/>
      <c r="F454" s="1"/>
      <c r="G454" s="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 ht="12.75" customHeight="1">
      <c r="A455" s="111"/>
      <c r="B455" s="111"/>
      <c r="C455" s="111"/>
      <c r="D455" s="1"/>
      <c r="E455" s="1"/>
      <c r="F455" s="1"/>
      <c r="G455" s="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 ht="12.75" customHeight="1">
      <c r="A456" s="111"/>
      <c r="B456" s="111"/>
      <c r="C456" s="111"/>
      <c r="D456" s="1"/>
      <c r="E456" s="1"/>
      <c r="F456" s="1"/>
      <c r="G456" s="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 ht="12.75" customHeight="1">
      <c r="A457" s="111"/>
      <c r="B457" s="111"/>
      <c r="C457" s="111"/>
      <c r="D457" s="1"/>
      <c r="E457" s="1"/>
      <c r="F457" s="1"/>
      <c r="G457" s="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 ht="12.75" customHeight="1">
      <c r="A458" s="111"/>
      <c r="B458" s="111"/>
      <c r="C458" s="111"/>
      <c r="D458" s="1"/>
      <c r="E458" s="1"/>
      <c r="F458" s="1"/>
      <c r="G458" s="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 ht="12.75" customHeight="1">
      <c r="A459" s="111"/>
      <c r="B459" s="111"/>
      <c r="C459" s="111"/>
      <c r="D459" s="1"/>
      <c r="E459" s="1"/>
      <c r="F459" s="1"/>
      <c r="G459" s="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 ht="12.75" customHeight="1">
      <c r="A460" s="111"/>
      <c r="B460" s="111"/>
      <c r="C460" s="111"/>
      <c r="D460" s="1"/>
      <c r="E460" s="1"/>
      <c r="F460" s="1"/>
      <c r="G460" s="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 ht="12.75" customHeight="1">
      <c r="A461" s="111"/>
      <c r="B461" s="111"/>
      <c r="C461" s="111"/>
      <c r="D461" s="1"/>
      <c r="E461" s="1"/>
      <c r="F461" s="1"/>
      <c r="G461" s="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 ht="12.75" customHeight="1">
      <c r="A462" s="111"/>
      <c r="B462" s="111"/>
      <c r="C462" s="111"/>
      <c r="D462" s="1"/>
      <c r="E462" s="1"/>
      <c r="F462" s="1"/>
      <c r="G462" s="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 ht="12.75" customHeight="1">
      <c r="A463" s="111"/>
      <c r="B463" s="111"/>
      <c r="C463" s="111"/>
      <c r="D463" s="1"/>
      <c r="E463" s="1"/>
      <c r="F463" s="1"/>
      <c r="G463" s="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 ht="12.75" customHeight="1">
      <c r="A464" s="111"/>
      <c r="B464" s="111"/>
      <c r="C464" s="111"/>
      <c r="D464" s="1"/>
      <c r="E464" s="1"/>
      <c r="F464" s="1"/>
      <c r="G464" s="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 ht="12.75" customHeight="1">
      <c r="A465" s="111"/>
      <c r="B465" s="111"/>
      <c r="C465" s="111"/>
      <c r="D465" s="1"/>
      <c r="E465" s="1"/>
      <c r="F465" s="1"/>
      <c r="G465" s="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 ht="12.75" customHeight="1">
      <c r="A466" s="111"/>
      <c r="B466" s="111"/>
      <c r="C466" s="111"/>
      <c r="D466" s="1"/>
      <c r="E466" s="1"/>
      <c r="F466" s="1"/>
      <c r="G466" s="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 ht="12.75" customHeight="1">
      <c r="A467" s="111"/>
      <c r="B467" s="111"/>
      <c r="C467" s="111"/>
      <c r="D467" s="1"/>
      <c r="E467" s="1"/>
      <c r="F467" s="1"/>
      <c r="G467" s="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 ht="12.75" customHeight="1">
      <c r="A468" s="111"/>
      <c r="B468" s="111"/>
      <c r="C468" s="111"/>
      <c r="D468" s="1"/>
      <c r="E468" s="1"/>
      <c r="F468" s="1"/>
      <c r="G468" s="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 ht="12.75" customHeight="1">
      <c r="A469" s="111"/>
      <c r="B469" s="111"/>
      <c r="C469" s="111"/>
      <c r="D469" s="1"/>
      <c r="E469" s="1"/>
      <c r="F469" s="1"/>
      <c r="G469" s="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 ht="12.75" customHeight="1">
      <c r="A470" s="111"/>
      <c r="B470" s="111"/>
      <c r="C470" s="111"/>
      <c r="D470" s="1"/>
      <c r="E470" s="1"/>
      <c r="F470" s="1"/>
      <c r="G470" s="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 ht="12.75" customHeight="1">
      <c r="A471" s="111"/>
      <c r="B471" s="111"/>
      <c r="C471" s="111"/>
      <c r="D471" s="1"/>
      <c r="E471" s="1"/>
      <c r="F471" s="1"/>
      <c r="G471" s="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 ht="12.75" customHeight="1">
      <c r="A472" s="111"/>
      <c r="B472" s="111"/>
      <c r="C472" s="111"/>
      <c r="D472" s="1"/>
      <c r="E472" s="1"/>
      <c r="F472" s="1"/>
      <c r="G472" s="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 ht="12.75" customHeight="1">
      <c r="A473" s="111"/>
      <c r="B473" s="111"/>
      <c r="C473" s="111"/>
      <c r="D473" s="1"/>
      <c r="E473" s="1"/>
      <c r="F473" s="1"/>
      <c r="G473" s="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 ht="12.75" customHeight="1">
      <c r="A474" s="111"/>
      <c r="B474" s="111"/>
      <c r="C474" s="111"/>
      <c r="D474" s="1"/>
      <c r="E474" s="1"/>
      <c r="F474" s="1"/>
      <c r="G474" s="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 ht="12.75" customHeight="1">
      <c r="A475" s="111"/>
      <c r="B475" s="111"/>
      <c r="C475" s="111"/>
      <c r="D475" s="1"/>
      <c r="E475" s="1"/>
      <c r="F475" s="1"/>
      <c r="G475" s="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 ht="12.75" customHeight="1">
      <c r="A476" s="111"/>
      <c r="B476" s="111"/>
      <c r="C476" s="111"/>
      <c r="D476" s="1"/>
      <c r="E476" s="1"/>
      <c r="F476" s="1"/>
      <c r="G476" s="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 ht="12.75" customHeight="1">
      <c r="A477" s="111"/>
      <c r="B477" s="111"/>
      <c r="C477" s="111"/>
      <c r="D477" s="1"/>
      <c r="E477" s="1"/>
      <c r="F477" s="1"/>
      <c r="G477" s="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 ht="12.75" customHeight="1">
      <c r="A478" s="111"/>
      <c r="B478" s="111"/>
      <c r="C478" s="111"/>
      <c r="D478" s="1"/>
      <c r="E478" s="1"/>
      <c r="F478" s="1"/>
      <c r="G478" s="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 ht="12.75" customHeight="1">
      <c r="A479" s="111"/>
      <c r="B479" s="111"/>
      <c r="C479" s="111"/>
      <c r="D479" s="1"/>
      <c r="E479" s="1"/>
      <c r="F479" s="1"/>
      <c r="G479" s="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 ht="12.75" customHeight="1">
      <c r="A480" s="111"/>
      <c r="B480" s="111"/>
      <c r="C480" s="111"/>
      <c r="D480" s="1"/>
      <c r="E480" s="1"/>
      <c r="F480" s="1"/>
      <c r="G480" s="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 ht="12.75" customHeight="1">
      <c r="A481" s="111"/>
      <c r="B481" s="111"/>
      <c r="C481" s="111"/>
      <c r="D481" s="1"/>
      <c r="E481" s="1"/>
      <c r="F481" s="1"/>
      <c r="G481" s="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 ht="12.75" customHeight="1">
      <c r="A482" s="111"/>
      <c r="B482" s="111"/>
      <c r="C482" s="111"/>
      <c r="D482" s="1"/>
      <c r="E482" s="1"/>
      <c r="F482" s="1"/>
      <c r="G482" s="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 ht="12.75" customHeight="1">
      <c r="A483" s="111"/>
      <c r="B483" s="111"/>
      <c r="C483" s="111"/>
      <c r="D483" s="1"/>
      <c r="E483" s="1"/>
      <c r="F483" s="1"/>
      <c r="G483" s="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 ht="12.75" customHeight="1">
      <c r="A484" s="111"/>
      <c r="B484" s="111"/>
      <c r="C484" s="111"/>
      <c r="D484" s="1"/>
      <c r="E484" s="1"/>
      <c r="F484" s="1"/>
      <c r="G484" s="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 ht="12.75" customHeight="1">
      <c r="A485" s="111"/>
      <c r="B485" s="111"/>
      <c r="C485" s="111"/>
      <c r="D485" s="1"/>
      <c r="E485" s="1"/>
      <c r="F485" s="1"/>
      <c r="G485" s="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 ht="12.75" customHeight="1">
      <c r="A486" s="111"/>
      <c r="B486" s="111"/>
      <c r="C486" s="111"/>
      <c r="D486" s="1"/>
      <c r="E486" s="1"/>
      <c r="F486" s="1"/>
      <c r="G486" s="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 ht="12.75" customHeight="1">
      <c r="A487" s="111"/>
      <c r="B487" s="111"/>
      <c r="C487" s="111"/>
      <c r="D487" s="1"/>
      <c r="E487" s="1"/>
      <c r="F487" s="1"/>
      <c r="G487" s="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 ht="12.75" customHeight="1">
      <c r="A488" s="111"/>
      <c r="B488" s="111"/>
      <c r="C488" s="111"/>
      <c r="D488" s="1"/>
      <c r="E488" s="1"/>
      <c r="F488" s="1"/>
      <c r="G488" s="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 ht="12.75" customHeight="1">
      <c r="A489" s="111"/>
      <c r="B489" s="111"/>
      <c r="C489" s="111"/>
      <c r="D489" s="1"/>
      <c r="E489" s="1"/>
      <c r="F489" s="1"/>
      <c r="G489" s="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 ht="12.75" customHeight="1">
      <c r="A490" s="111"/>
      <c r="B490" s="111"/>
      <c r="C490" s="111"/>
      <c r="D490" s="1"/>
      <c r="E490" s="1"/>
      <c r="F490" s="1"/>
      <c r="G490" s="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 ht="12.75" customHeight="1">
      <c r="A491" s="111"/>
      <c r="B491" s="111"/>
      <c r="C491" s="111"/>
      <c r="D491" s="1"/>
      <c r="E491" s="1"/>
      <c r="F491" s="1"/>
      <c r="G491" s="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 ht="12.75" customHeight="1">
      <c r="A492" s="111"/>
      <c r="B492" s="111"/>
      <c r="C492" s="111"/>
      <c r="D492" s="1"/>
      <c r="E492" s="1"/>
      <c r="F492" s="1"/>
      <c r="G492" s="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 ht="12.75" customHeight="1">
      <c r="A493" s="111"/>
      <c r="B493" s="111"/>
      <c r="C493" s="111"/>
      <c r="D493" s="1"/>
      <c r="E493" s="1"/>
      <c r="F493" s="1"/>
      <c r="G493" s="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 ht="12.75" customHeight="1">
      <c r="A494" s="111"/>
      <c r="B494" s="111"/>
      <c r="C494" s="111"/>
      <c r="D494" s="1"/>
      <c r="E494" s="1"/>
      <c r="F494" s="1"/>
      <c r="G494" s="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 ht="12.75" customHeight="1">
      <c r="A495" s="111"/>
      <c r="B495" s="111"/>
      <c r="C495" s="111"/>
      <c r="D495" s="1"/>
      <c r="E495" s="1"/>
      <c r="F495" s="1"/>
      <c r="G495" s="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 ht="12.75" customHeight="1">
      <c r="A496" s="111"/>
      <c r="B496" s="111"/>
      <c r="C496" s="111"/>
      <c r="D496" s="1"/>
      <c r="E496" s="1"/>
      <c r="F496" s="1"/>
      <c r="G496" s="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 ht="12.75" customHeight="1">
      <c r="A497" s="111"/>
      <c r="B497" s="111"/>
      <c r="C497" s="111"/>
      <c r="D497" s="1"/>
      <c r="E497" s="1"/>
      <c r="F497" s="1"/>
      <c r="G497" s="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 ht="12.75" customHeight="1">
      <c r="A498" s="111"/>
      <c r="B498" s="111"/>
      <c r="C498" s="111"/>
      <c r="D498" s="1"/>
      <c r="E498" s="1"/>
      <c r="F498" s="1"/>
      <c r="G498" s="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 ht="12.75" customHeight="1">
      <c r="A499" s="111"/>
      <c r="B499" s="111"/>
      <c r="C499" s="111"/>
      <c r="D499" s="1"/>
      <c r="E499" s="1"/>
      <c r="F499" s="1"/>
      <c r="G499" s="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 ht="12.75" customHeight="1">
      <c r="A500" s="111"/>
      <c r="B500" s="111"/>
      <c r="C500" s="111"/>
      <c r="D500" s="1"/>
      <c r="E500" s="1"/>
      <c r="F500" s="1"/>
      <c r="G500" s="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 ht="12.75" customHeight="1">
      <c r="A501" s="111"/>
      <c r="B501" s="111"/>
      <c r="C501" s="111"/>
      <c r="D501" s="1"/>
      <c r="E501" s="1"/>
      <c r="F501" s="1"/>
      <c r="G501" s="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 ht="12.75" customHeight="1">
      <c r="A502" s="111"/>
      <c r="B502" s="111"/>
      <c r="C502" s="111"/>
      <c r="D502" s="1"/>
      <c r="E502" s="1"/>
      <c r="F502" s="1"/>
      <c r="G502" s="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 ht="12.75" customHeight="1">
      <c r="A503" s="111"/>
      <c r="B503" s="111"/>
      <c r="C503" s="111"/>
      <c r="D503" s="1"/>
      <c r="E503" s="1"/>
      <c r="F503" s="1"/>
      <c r="G503" s="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 ht="12.75" customHeight="1">
      <c r="A504" s="111"/>
      <c r="B504" s="111"/>
      <c r="C504" s="111"/>
      <c r="D504" s="1"/>
      <c r="E504" s="1"/>
      <c r="F504" s="1"/>
      <c r="G504" s="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 ht="12.75" customHeight="1">
      <c r="A505" s="111"/>
      <c r="B505" s="111"/>
      <c r="C505" s="111"/>
      <c r="D505" s="1"/>
      <c r="E505" s="1"/>
      <c r="F505" s="1"/>
      <c r="G505" s="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 ht="12.75" customHeight="1">
      <c r="A506" s="111"/>
      <c r="B506" s="111"/>
      <c r="C506" s="111"/>
      <c r="D506" s="1"/>
      <c r="E506" s="1"/>
      <c r="F506" s="1"/>
      <c r="G506" s="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 ht="12.75" customHeight="1">
      <c r="A507" s="111"/>
      <c r="B507" s="111"/>
      <c r="C507" s="111"/>
      <c r="D507" s="1"/>
      <c r="E507" s="1"/>
      <c r="F507" s="1"/>
      <c r="G507" s="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 ht="12.75" customHeight="1">
      <c r="A508" s="111"/>
      <c r="B508" s="111"/>
      <c r="C508" s="111"/>
      <c r="D508" s="1"/>
      <c r="E508" s="1"/>
      <c r="F508" s="1"/>
      <c r="G508" s="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 ht="12.75" customHeight="1">
      <c r="A509" s="111"/>
      <c r="B509" s="111"/>
      <c r="C509" s="111"/>
      <c r="D509" s="1"/>
      <c r="E509" s="1"/>
      <c r="F509" s="1"/>
      <c r="G509" s="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 ht="12.75" customHeight="1">
      <c r="A510" s="111"/>
      <c r="B510" s="111"/>
      <c r="C510" s="111"/>
      <c r="D510" s="1"/>
      <c r="E510" s="1"/>
      <c r="F510" s="1"/>
      <c r="G510" s="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 ht="12.75" customHeight="1">
      <c r="A511" s="111"/>
      <c r="B511" s="111"/>
      <c r="C511" s="111"/>
      <c r="D511" s="1"/>
      <c r="E511" s="1"/>
      <c r="F511" s="1"/>
      <c r="G511" s="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 ht="12.75" customHeight="1">
      <c r="A512" s="111"/>
      <c r="B512" s="111"/>
      <c r="C512" s="111"/>
      <c r="D512" s="1"/>
      <c r="E512" s="1"/>
      <c r="F512" s="1"/>
      <c r="G512" s="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 ht="12.75" customHeight="1">
      <c r="A513" s="111"/>
      <c r="B513" s="111"/>
      <c r="C513" s="111"/>
      <c r="D513" s="1"/>
      <c r="E513" s="1"/>
      <c r="F513" s="1"/>
      <c r="G513" s="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 ht="12.75" customHeight="1">
      <c r="A514" s="111"/>
      <c r="B514" s="111"/>
      <c r="C514" s="111"/>
      <c r="D514" s="1"/>
      <c r="E514" s="1"/>
      <c r="F514" s="1"/>
      <c r="G514" s="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 ht="12.75" customHeight="1">
      <c r="A515" s="111"/>
      <c r="B515" s="111"/>
      <c r="C515" s="111"/>
      <c r="D515" s="1"/>
      <c r="E515" s="1"/>
      <c r="F515" s="1"/>
      <c r="G515" s="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 ht="12.75" customHeight="1">
      <c r="A516" s="111"/>
      <c r="B516" s="111"/>
      <c r="C516" s="111"/>
      <c r="D516" s="1"/>
      <c r="E516" s="1"/>
      <c r="F516" s="1"/>
      <c r="G516" s="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 ht="12.75" customHeight="1">
      <c r="A517" s="111"/>
      <c r="B517" s="111"/>
      <c r="C517" s="111"/>
      <c r="D517" s="1"/>
      <c r="E517" s="1"/>
      <c r="F517" s="1"/>
      <c r="G517" s="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 ht="12.75" customHeight="1">
      <c r="A518" s="111"/>
      <c r="B518" s="111"/>
      <c r="C518" s="111"/>
      <c r="D518" s="1"/>
      <c r="E518" s="1"/>
      <c r="F518" s="1"/>
      <c r="G518" s="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 ht="12.75" customHeight="1">
      <c r="A519" s="111"/>
      <c r="B519" s="111"/>
      <c r="C519" s="111"/>
      <c r="D519" s="1"/>
      <c r="E519" s="1"/>
      <c r="F519" s="1"/>
      <c r="G519" s="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 ht="12.75" customHeight="1">
      <c r="A520" s="111"/>
      <c r="B520" s="111"/>
      <c r="C520" s="111"/>
      <c r="D520" s="1"/>
      <c r="E520" s="1"/>
      <c r="F520" s="1"/>
      <c r="G520" s="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 ht="12.75" customHeight="1">
      <c r="A521" s="111"/>
      <c r="B521" s="111"/>
      <c r="C521" s="111"/>
      <c r="D521" s="1"/>
      <c r="E521" s="1"/>
      <c r="F521" s="1"/>
      <c r="G521" s="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 ht="12.75" customHeight="1">
      <c r="A522" s="111"/>
      <c r="B522" s="111"/>
      <c r="C522" s="111"/>
      <c r="D522" s="1"/>
      <c r="E522" s="1"/>
      <c r="F522" s="1"/>
      <c r="G522" s="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 ht="12.75" customHeight="1">
      <c r="A523" s="111"/>
      <c r="B523" s="111"/>
      <c r="C523" s="111"/>
      <c r="D523" s="1"/>
      <c r="E523" s="1"/>
      <c r="F523" s="1"/>
      <c r="G523" s="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 ht="12.75" customHeight="1">
      <c r="A524" s="111"/>
      <c r="B524" s="111"/>
      <c r="C524" s="111"/>
      <c r="D524" s="1"/>
      <c r="E524" s="1"/>
      <c r="F524" s="1"/>
      <c r="G524" s="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 ht="12.75" customHeight="1">
      <c r="A525" s="111"/>
      <c r="B525" s="111"/>
      <c r="C525" s="111"/>
      <c r="D525" s="1"/>
      <c r="E525" s="1"/>
      <c r="F525" s="1"/>
      <c r="G525" s="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 ht="12.75" customHeight="1">
      <c r="A526" s="111"/>
      <c r="B526" s="111"/>
      <c r="C526" s="111"/>
      <c r="D526" s="1"/>
      <c r="E526" s="1"/>
      <c r="F526" s="1"/>
      <c r="G526" s="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 ht="12.75" customHeight="1">
      <c r="A527" s="111"/>
      <c r="B527" s="111"/>
      <c r="C527" s="111"/>
      <c r="D527" s="1"/>
      <c r="E527" s="1"/>
      <c r="F527" s="1"/>
      <c r="G527" s="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 ht="12.75" customHeight="1">
      <c r="A528" s="111"/>
      <c r="B528" s="111"/>
      <c r="C528" s="111"/>
      <c r="D528" s="1"/>
      <c r="E528" s="1"/>
      <c r="F528" s="1"/>
      <c r="G528" s="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 ht="12.75" customHeight="1">
      <c r="A529" s="111"/>
      <c r="B529" s="111"/>
      <c r="C529" s="111"/>
      <c r="D529" s="1"/>
      <c r="E529" s="1"/>
      <c r="F529" s="1"/>
      <c r="G529" s="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 ht="12.75" customHeight="1">
      <c r="A530" s="111"/>
      <c r="B530" s="111"/>
      <c r="C530" s="111"/>
      <c r="D530" s="1"/>
      <c r="E530" s="1"/>
      <c r="F530" s="1"/>
      <c r="G530" s="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 ht="12.75" customHeight="1">
      <c r="A531" s="111"/>
      <c r="B531" s="111"/>
      <c r="C531" s="111"/>
      <c r="D531" s="1"/>
      <c r="E531" s="1"/>
      <c r="F531" s="1"/>
      <c r="G531" s="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 ht="12.75" customHeight="1">
      <c r="A532" s="111"/>
      <c r="B532" s="111"/>
      <c r="C532" s="111"/>
      <c r="D532" s="1"/>
      <c r="E532" s="1"/>
      <c r="F532" s="1"/>
      <c r="G532" s="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 ht="12.75" customHeight="1">
      <c r="A533" s="111"/>
      <c r="B533" s="111"/>
      <c r="C533" s="111"/>
      <c r="D533" s="1"/>
      <c r="E533" s="1"/>
      <c r="F533" s="1"/>
      <c r="G533" s="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 ht="12.75" customHeight="1">
      <c r="A534" s="111"/>
      <c r="B534" s="111"/>
      <c r="C534" s="111"/>
      <c r="D534" s="1"/>
      <c r="E534" s="1"/>
      <c r="F534" s="1"/>
      <c r="G534" s="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 ht="12.75" customHeight="1">
      <c r="A535" s="111"/>
      <c r="B535" s="111"/>
      <c r="C535" s="111"/>
      <c r="D535" s="1"/>
      <c r="E535" s="1"/>
      <c r="F535" s="1"/>
      <c r="G535" s="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 ht="12.75" customHeight="1">
      <c r="A536" s="111"/>
      <c r="B536" s="111"/>
      <c r="C536" s="111"/>
      <c r="D536" s="1"/>
      <c r="E536" s="1"/>
      <c r="F536" s="1"/>
      <c r="G536" s="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 ht="12.75" customHeight="1">
      <c r="A537" s="111"/>
      <c r="B537" s="111"/>
      <c r="C537" s="111"/>
      <c r="D537" s="1"/>
      <c r="E537" s="1"/>
      <c r="F537" s="1"/>
      <c r="G537" s="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 ht="12.75" customHeight="1">
      <c r="A538" s="111"/>
      <c r="B538" s="111"/>
      <c r="C538" s="111"/>
      <c r="D538" s="1"/>
      <c r="E538" s="1"/>
      <c r="F538" s="1"/>
      <c r="G538" s="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 ht="12.75" customHeight="1">
      <c r="A539" s="111"/>
      <c r="B539" s="111"/>
      <c r="C539" s="111"/>
      <c r="D539" s="1"/>
      <c r="E539" s="1"/>
      <c r="F539" s="1"/>
      <c r="G539" s="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 ht="12.75" customHeight="1">
      <c r="A540" s="111"/>
      <c r="B540" s="111"/>
      <c r="C540" s="111"/>
      <c r="D540" s="1"/>
      <c r="E540" s="1"/>
      <c r="F540" s="1"/>
      <c r="G540" s="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 ht="12.75" customHeight="1">
      <c r="A541" s="111"/>
      <c r="B541" s="111"/>
      <c r="C541" s="111"/>
      <c r="D541" s="1"/>
      <c r="E541" s="1"/>
      <c r="F541" s="1"/>
      <c r="G541" s="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 ht="12.75" customHeight="1">
      <c r="A542" s="111"/>
      <c r="B542" s="111"/>
      <c r="C542" s="111"/>
      <c r="D542" s="1"/>
      <c r="E542" s="1"/>
      <c r="F542" s="1"/>
      <c r="G542" s="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 ht="12.75" customHeight="1">
      <c r="A543" s="111"/>
      <c r="B543" s="111"/>
      <c r="C543" s="111"/>
      <c r="D543" s="1"/>
      <c r="E543" s="1"/>
      <c r="F543" s="1"/>
      <c r="G543" s="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 ht="12.75" customHeight="1">
      <c r="A544" s="111"/>
      <c r="B544" s="111"/>
      <c r="C544" s="111"/>
      <c r="D544" s="1"/>
      <c r="E544" s="1"/>
      <c r="F544" s="1"/>
      <c r="G544" s="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 ht="12.75" customHeight="1">
      <c r="A545" s="111"/>
      <c r="B545" s="111"/>
      <c r="C545" s="111"/>
      <c r="D545" s="1"/>
      <c r="E545" s="1"/>
      <c r="F545" s="1"/>
      <c r="G545" s="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 ht="12.75" customHeight="1">
      <c r="A546" s="111"/>
      <c r="B546" s="111"/>
      <c r="C546" s="111"/>
      <c r="D546" s="1"/>
      <c r="E546" s="1"/>
      <c r="F546" s="1"/>
      <c r="G546" s="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 ht="12.75" customHeight="1">
      <c r="A547" s="111"/>
      <c r="B547" s="111"/>
      <c r="C547" s="111"/>
      <c r="D547" s="1"/>
      <c r="E547" s="1"/>
      <c r="F547" s="1"/>
      <c r="G547" s="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 ht="12.75" customHeight="1">
      <c r="A548" s="111"/>
      <c r="B548" s="111"/>
      <c r="C548" s="111"/>
      <c r="D548" s="1"/>
      <c r="E548" s="1"/>
      <c r="F548" s="1"/>
      <c r="G548" s="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 ht="12.75" customHeight="1">
      <c r="A549" s="111"/>
      <c r="B549" s="111"/>
      <c r="C549" s="111"/>
      <c r="D549" s="1"/>
      <c r="E549" s="1"/>
      <c r="F549" s="1"/>
      <c r="G549" s="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 ht="12.75" customHeight="1">
      <c r="A550" s="111"/>
      <c r="B550" s="111"/>
      <c r="C550" s="111"/>
      <c r="D550" s="1"/>
      <c r="E550" s="1"/>
      <c r="F550" s="1"/>
      <c r="G550" s="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 ht="12.75" customHeight="1">
      <c r="A551" s="111"/>
      <c r="B551" s="111"/>
      <c r="C551" s="111"/>
      <c r="D551" s="1"/>
      <c r="E551" s="1"/>
      <c r="F551" s="1"/>
      <c r="G551" s="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 ht="12.75" customHeight="1">
      <c r="A552" s="111"/>
      <c r="B552" s="111"/>
      <c r="C552" s="111"/>
      <c r="D552" s="1"/>
      <c r="E552" s="1"/>
      <c r="F552" s="1"/>
      <c r="G552" s="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 ht="12.75" customHeight="1">
      <c r="A553" s="111"/>
      <c r="B553" s="111"/>
      <c r="C553" s="111"/>
      <c r="D553" s="1"/>
      <c r="E553" s="1"/>
      <c r="F553" s="1"/>
      <c r="G553" s="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 ht="12.75" customHeight="1">
      <c r="A554" s="111"/>
      <c r="B554" s="111"/>
      <c r="C554" s="111"/>
      <c r="D554" s="1"/>
      <c r="E554" s="1"/>
      <c r="F554" s="1"/>
      <c r="G554" s="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 ht="12.75" customHeight="1">
      <c r="A555" s="111"/>
      <c r="B555" s="111"/>
      <c r="C555" s="111"/>
      <c r="D555" s="1"/>
      <c r="E555" s="1"/>
      <c r="F555" s="1"/>
      <c r="G555" s="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 ht="12.75" customHeight="1">
      <c r="A556" s="111"/>
      <c r="B556" s="111"/>
      <c r="C556" s="111"/>
      <c r="D556" s="1"/>
      <c r="E556" s="1"/>
      <c r="F556" s="1"/>
      <c r="G556" s="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 ht="12.75" customHeight="1">
      <c r="A557" s="111"/>
      <c r="B557" s="111"/>
      <c r="C557" s="111"/>
      <c r="D557" s="1"/>
      <c r="E557" s="1"/>
      <c r="F557" s="1"/>
      <c r="G557" s="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 ht="12.75" customHeight="1">
      <c r="A558" s="111"/>
      <c r="B558" s="111"/>
      <c r="C558" s="111"/>
      <c r="D558" s="1"/>
      <c r="E558" s="1"/>
      <c r="F558" s="1"/>
      <c r="G558" s="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 ht="12.75" customHeight="1">
      <c r="A559" s="111"/>
      <c r="B559" s="111"/>
      <c r="C559" s="111"/>
      <c r="D559" s="1"/>
      <c r="E559" s="1"/>
      <c r="F559" s="1"/>
      <c r="G559" s="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 ht="12.75" customHeight="1">
      <c r="A560" s="111"/>
      <c r="B560" s="111"/>
      <c r="C560" s="111"/>
      <c r="D560" s="1"/>
      <c r="E560" s="1"/>
      <c r="F560" s="1"/>
      <c r="G560" s="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 ht="12.75" customHeight="1">
      <c r="A561" s="111"/>
      <c r="B561" s="111"/>
      <c r="C561" s="111"/>
      <c r="D561" s="1"/>
      <c r="E561" s="1"/>
      <c r="F561" s="1"/>
      <c r="G561" s="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 ht="12.75" customHeight="1">
      <c r="A562" s="111"/>
      <c r="B562" s="111"/>
      <c r="C562" s="111"/>
      <c r="D562" s="1"/>
      <c r="E562" s="1"/>
      <c r="F562" s="1"/>
      <c r="G562" s="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 ht="12.75" customHeight="1">
      <c r="A563" s="111"/>
      <c r="B563" s="111"/>
      <c r="C563" s="111"/>
      <c r="D563" s="1"/>
      <c r="E563" s="1"/>
      <c r="F563" s="1"/>
      <c r="G563" s="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 ht="12.75" customHeight="1">
      <c r="A564" s="111"/>
      <c r="B564" s="111"/>
      <c r="C564" s="111"/>
      <c r="D564" s="1"/>
      <c r="E564" s="1"/>
      <c r="F564" s="1"/>
      <c r="G564" s="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 ht="12.75" customHeight="1">
      <c r="A565" s="111"/>
      <c r="B565" s="111"/>
      <c r="C565" s="111"/>
      <c r="D565" s="1"/>
      <c r="E565" s="1"/>
      <c r="F565" s="1"/>
      <c r="G565" s="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 ht="12.75" customHeight="1">
      <c r="A566" s="111"/>
      <c r="B566" s="111"/>
      <c r="C566" s="111"/>
      <c r="D566" s="1"/>
      <c r="E566" s="1"/>
      <c r="F566" s="1"/>
      <c r="G566" s="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 ht="12.75" customHeight="1">
      <c r="A567" s="111"/>
      <c r="B567" s="111"/>
      <c r="C567" s="111"/>
      <c r="D567" s="1"/>
      <c r="E567" s="1"/>
      <c r="F567" s="1"/>
      <c r="G567" s="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 ht="12.75" customHeight="1">
      <c r="A568" s="111"/>
      <c r="B568" s="111"/>
      <c r="C568" s="111"/>
      <c r="D568" s="1"/>
      <c r="E568" s="1"/>
      <c r="F568" s="1"/>
      <c r="G568" s="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 ht="12.75" customHeight="1">
      <c r="A569" s="111"/>
      <c r="B569" s="111"/>
      <c r="C569" s="111"/>
      <c r="D569" s="1"/>
      <c r="E569" s="1"/>
      <c r="F569" s="1"/>
      <c r="G569" s="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 ht="12.75" customHeight="1">
      <c r="A570" s="111"/>
      <c r="B570" s="111"/>
      <c r="C570" s="111"/>
      <c r="D570" s="1"/>
      <c r="E570" s="1"/>
      <c r="F570" s="1"/>
      <c r="G570" s="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 ht="12.75" customHeight="1">
      <c r="A571" s="111"/>
      <c r="B571" s="111"/>
      <c r="C571" s="111"/>
      <c r="D571" s="1"/>
      <c r="E571" s="1"/>
      <c r="F571" s="1"/>
      <c r="G571" s="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 ht="12.75" customHeight="1">
      <c r="A572" s="111"/>
      <c r="B572" s="111"/>
      <c r="C572" s="111"/>
      <c r="D572" s="1"/>
      <c r="E572" s="1"/>
      <c r="F572" s="1"/>
      <c r="G572" s="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 ht="12.75" customHeight="1">
      <c r="A573" s="111"/>
      <c r="B573" s="111"/>
      <c r="C573" s="111"/>
      <c r="D573" s="1"/>
      <c r="E573" s="1"/>
      <c r="F573" s="1"/>
      <c r="G573" s="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 ht="12.75" customHeight="1">
      <c r="A574" s="111"/>
      <c r="B574" s="111"/>
      <c r="C574" s="111"/>
      <c r="D574" s="1"/>
      <c r="E574" s="1"/>
      <c r="F574" s="1"/>
      <c r="G574" s="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 ht="12.75" customHeight="1">
      <c r="A575" s="111"/>
      <c r="B575" s="111"/>
      <c r="C575" s="111"/>
      <c r="D575" s="1"/>
      <c r="E575" s="1"/>
      <c r="F575" s="1"/>
      <c r="G575" s="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 ht="12.75" customHeight="1">
      <c r="A576" s="111"/>
      <c r="B576" s="111"/>
      <c r="C576" s="111"/>
      <c r="D576" s="1"/>
      <c r="E576" s="1"/>
      <c r="F576" s="1"/>
      <c r="G576" s="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 ht="12.75" customHeight="1">
      <c r="A577" s="111"/>
      <c r="B577" s="111"/>
      <c r="C577" s="111"/>
      <c r="D577" s="1"/>
      <c r="E577" s="1"/>
      <c r="F577" s="1"/>
      <c r="G577" s="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 ht="12.75" customHeight="1">
      <c r="A578" s="111"/>
      <c r="B578" s="111"/>
      <c r="C578" s="111"/>
      <c r="D578" s="1"/>
      <c r="E578" s="1"/>
      <c r="F578" s="1"/>
      <c r="G578" s="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 ht="12.75" customHeight="1">
      <c r="A579" s="111"/>
      <c r="B579" s="111"/>
      <c r="C579" s="111"/>
      <c r="D579" s="1"/>
      <c r="E579" s="1"/>
      <c r="F579" s="1"/>
      <c r="G579" s="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 ht="12.75" customHeight="1">
      <c r="A580" s="111"/>
      <c r="B580" s="111"/>
      <c r="C580" s="111"/>
      <c r="D580" s="1"/>
      <c r="E580" s="1"/>
      <c r="F580" s="1"/>
      <c r="G580" s="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 ht="12.75" customHeight="1">
      <c r="A581" s="111"/>
      <c r="B581" s="111"/>
      <c r="C581" s="111"/>
      <c r="D581" s="1"/>
      <c r="E581" s="1"/>
      <c r="F581" s="1"/>
      <c r="G581" s="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 ht="12.75" customHeight="1">
      <c r="A582" s="111"/>
      <c r="B582" s="111"/>
      <c r="C582" s="111"/>
      <c r="D582" s="1"/>
      <c r="E582" s="1"/>
      <c r="F582" s="1"/>
      <c r="G582" s="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 ht="12.75" customHeight="1">
      <c r="A583" s="111"/>
      <c r="B583" s="111"/>
      <c r="C583" s="111"/>
      <c r="D583" s="1"/>
      <c r="E583" s="1"/>
      <c r="F583" s="1"/>
      <c r="G583" s="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 ht="12.75" customHeight="1">
      <c r="A584" s="111"/>
      <c r="B584" s="111"/>
      <c r="C584" s="111"/>
      <c r="D584" s="1"/>
      <c r="E584" s="1"/>
      <c r="F584" s="1"/>
      <c r="G584" s="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 ht="12.75" customHeight="1">
      <c r="A585" s="111"/>
      <c r="B585" s="111"/>
      <c r="C585" s="111"/>
      <c r="D585" s="1"/>
      <c r="E585" s="1"/>
      <c r="F585" s="1"/>
      <c r="G585" s="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 ht="12.75" customHeight="1">
      <c r="A586" s="111"/>
      <c r="B586" s="111"/>
      <c r="C586" s="111"/>
      <c r="D586" s="1"/>
      <c r="E586" s="1"/>
      <c r="F586" s="1"/>
      <c r="G586" s="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 ht="12.75" customHeight="1">
      <c r="A587" s="111"/>
      <c r="B587" s="111"/>
      <c r="C587" s="111"/>
      <c r="D587" s="1"/>
      <c r="E587" s="1"/>
      <c r="F587" s="1"/>
      <c r="G587" s="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 ht="12.75" customHeight="1">
      <c r="A588" s="111"/>
      <c r="B588" s="111"/>
      <c r="C588" s="111"/>
      <c r="D588" s="1"/>
      <c r="E588" s="1"/>
      <c r="F588" s="1"/>
      <c r="G588" s="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 ht="12.75" customHeight="1">
      <c r="A589" s="111"/>
      <c r="B589" s="111"/>
      <c r="C589" s="111"/>
      <c r="D589" s="1"/>
      <c r="E589" s="1"/>
      <c r="F589" s="1"/>
      <c r="G589" s="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 ht="12.75" customHeight="1">
      <c r="A590" s="111"/>
      <c r="B590" s="111"/>
      <c r="C590" s="111"/>
      <c r="D590" s="1"/>
      <c r="E590" s="1"/>
      <c r="F590" s="1"/>
      <c r="G590" s="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 ht="12.75" customHeight="1">
      <c r="A591" s="111"/>
      <c r="B591" s="111"/>
      <c r="C591" s="111"/>
      <c r="D591" s="1"/>
      <c r="E591" s="1"/>
      <c r="F591" s="1"/>
      <c r="G591" s="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 ht="12.75" customHeight="1">
      <c r="A592" s="111"/>
      <c r="B592" s="111"/>
      <c r="C592" s="111"/>
      <c r="D592" s="1"/>
      <c r="E592" s="1"/>
      <c r="F592" s="1"/>
      <c r="G592" s="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 ht="12.75" customHeight="1">
      <c r="A593" s="111"/>
      <c r="B593" s="111"/>
      <c r="C593" s="111"/>
      <c r="D593" s="1"/>
      <c r="E593" s="1"/>
      <c r="F593" s="1"/>
      <c r="G593" s="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 ht="12.75" customHeight="1">
      <c r="A594" s="111"/>
      <c r="B594" s="111"/>
      <c r="C594" s="111"/>
      <c r="D594" s="1"/>
      <c r="E594" s="1"/>
      <c r="F594" s="1"/>
      <c r="G594" s="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 ht="12.75" customHeight="1">
      <c r="A595" s="111"/>
      <c r="B595" s="111"/>
      <c r="C595" s="111"/>
      <c r="D595" s="1"/>
      <c r="E595" s="1"/>
      <c r="F595" s="1"/>
      <c r="G595" s="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 ht="12.75" customHeight="1">
      <c r="A596" s="111"/>
      <c r="B596" s="111"/>
      <c r="C596" s="111"/>
      <c r="D596" s="1"/>
      <c r="E596" s="1"/>
      <c r="F596" s="1"/>
      <c r="G596" s="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 ht="12.75" customHeight="1">
      <c r="A597" s="111"/>
      <c r="B597" s="111"/>
      <c r="C597" s="111"/>
      <c r="D597" s="1"/>
      <c r="E597" s="1"/>
      <c r="F597" s="1"/>
      <c r="G597" s="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 ht="12.75" customHeight="1">
      <c r="A598" s="111"/>
      <c r="B598" s="111"/>
      <c r="C598" s="111"/>
      <c r="D598" s="1"/>
      <c r="E598" s="1"/>
      <c r="F598" s="1"/>
      <c r="G598" s="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 ht="12.75" customHeight="1">
      <c r="A599" s="111"/>
      <c r="B599" s="111"/>
      <c r="C599" s="111"/>
      <c r="D599" s="1"/>
      <c r="E599" s="1"/>
      <c r="F599" s="1"/>
      <c r="G599" s="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 ht="12.75" customHeight="1">
      <c r="A600" s="111"/>
      <c r="B600" s="111"/>
      <c r="C600" s="111"/>
      <c r="D600" s="1"/>
      <c r="E600" s="1"/>
      <c r="F600" s="1"/>
      <c r="G600" s="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 ht="12.75" customHeight="1">
      <c r="A601" s="111"/>
      <c r="B601" s="111"/>
      <c r="C601" s="111"/>
      <c r="D601" s="1"/>
      <c r="E601" s="1"/>
      <c r="F601" s="1"/>
      <c r="G601" s="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 ht="12.75" customHeight="1">
      <c r="A602" s="111"/>
      <c r="B602" s="111"/>
      <c r="C602" s="111"/>
      <c r="D602" s="1"/>
      <c r="E602" s="1"/>
      <c r="F602" s="1"/>
      <c r="G602" s="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 ht="12.75" customHeight="1">
      <c r="A603" s="111"/>
      <c r="B603" s="111"/>
      <c r="C603" s="111"/>
      <c r="D603" s="1"/>
      <c r="E603" s="1"/>
      <c r="F603" s="1"/>
      <c r="G603" s="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 ht="12.75" customHeight="1">
      <c r="A604" s="111"/>
      <c r="B604" s="111"/>
      <c r="C604" s="111"/>
      <c r="D604" s="1"/>
      <c r="E604" s="1"/>
      <c r="F604" s="1"/>
      <c r="G604" s="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 ht="12.75" customHeight="1">
      <c r="A605" s="111"/>
      <c r="B605" s="111"/>
      <c r="C605" s="111"/>
      <c r="D605" s="1"/>
      <c r="E605" s="1"/>
      <c r="F605" s="1"/>
      <c r="G605" s="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 ht="12.75" customHeight="1">
      <c r="A606" s="111"/>
      <c r="B606" s="111"/>
      <c r="C606" s="111"/>
      <c r="D606" s="1"/>
      <c r="E606" s="1"/>
      <c r="F606" s="1"/>
      <c r="G606" s="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 ht="12.75" customHeight="1">
      <c r="A607" s="111"/>
      <c r="B607" s="111"/>
      <c r="C607" s="111"/>
      <c r="D607" s="1"/>
      <c r="E607" s="1"/>
      <c r="F607" s="1"/>
      <c r="G607" s="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 ht="12.75" customHeight="1">
      <c r="A608" s="111"/>
      <c r="B608" s="111"/>
      <c r="C608" s="111"/>
      <c r="D608" s="1"/>
      <c r="E608" s="1"/>
      <c r="F608" s="1"/>
      <c r="G608" s="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 ht="12.75" customHeight="1">
      <c r="A609" s="111"/>
      <c r="B609" s="111"/>
      <c r="C609" s="111"/>
      <c r="D609" s="1"/>
      <c r="E609" s="1"/>
      <c r="F609" s="1"/>
      <c r="G609" s="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 ht="12.75" customHeight="1">
      <c r="A610" s="111"/>
      <c r="B610" s="111"/>
      <c r="C610" s="111"/>
      <c r="D610" s="1"/>
      <c r="E610" s="1"/>
      <c r="F610" s="1"/>
      <c r="G610" s="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 ht="12.75" customHeight="1">
      <c r="A611" s="111"/>
      <c r="B611" s="111"/>
      <c r="C611" s="111"/>
      <c r="D611" s="1"/>
      <c r="E611" s="1"/>
      <c r="F611" s="1"/>
      <c r="G611" s="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 ht="12.75" customHeight="1">
      <c r="A612" s="111"/>
      <c r="B612" s="111"/>
      <c r="C612" s="111"/>
      <c r="D612" s="1"/>
      <c r="E612" s="1"/>
      <c r="F612" s="1"/>
      <c r="G612" s="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 ht="12.75" customHeight="1">
      <c r="A613" s="111"/>
      <c r="B613" s="111"/>
      <c r="C613" s="111"/>
      <c r="D613" s="1"/>
      <c r="E613" s="1"/>
      <c r="F613" s="1"/>
      <c r="G613" s="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 ht="12.75" customHeight="1">
      <c r="A614" s="111"/>
      <c r="B614" s="111"/>
      <c r="C614" s="111"/>
      <c r="D614" s="1"/>
      <c r="E614" s="1"/>
      <c r="F614" s="1"/>
      <c r="G614" s="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 ht="12.75" customHeight="1">
      <c r="A615" s="111"/>
      <c r="B615" s="111"/>
      <c r="C615" s="111"/>
      <c r="D615" s="1"/>
      <c r="E615" s="1"/>
      <c r="F615" s="1"/>
      <c r="G615" s="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 ht="12.75" customHeight="1">
      <c r="A616" s="111"/>
      <c r="B616" s="111"/>
      <c r="C616" s="111"/>
      <c r="D616" s="1"/>
      <c r="E616" s="1"/>
      <c r="F616" s="1"/>
      <c r="G616" s="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 ht="12.75" customHeight="1">
      <c r="A617" s="111"/>
      <c r="B617" s="111"/>
      <c r="C617" s="111"/>
      <c r="D617" s="1"/>
      <c r="E617" s="1"/>
      <c r="F617" s="1"/>
      <c r="G617" s="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 ht="12.75" customHeight="1">
      <c r="A618" s="111"/>
      <c r="B618" s="111"/>
      <c r="C618" s="111"/>
      <c r="D618" s="1"/>
      <c r="E618" s="1"/>
      <c r="F618" s="1"/>
      <c r="G618" s="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 ht="12.75" customHeight="1">
      <c r="A619" s="111"/>
      <c r="B619" s="111"/>
      <c r="C619" s="111"/>
      <c r="D619" s="1"/>
      <c r="E619" s="1"/>
      <c r="F619" s="1"/>
      <c r="G619" s="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 ht="12.75" customHeight="1">
      <c r="A620" s="111"/>
      <c r="B620" s="111"/>
      <c r="C620" s="111"/>
      <c r="D620" s="1"/>
      <c r="E620" s="1"/>
      <c r="F620" s="1"/>
      <c r="G620" s="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 ht="12.75" customHeight="1">
      <c r="A621" s="111"/>
      <c r="B621" s="111"/>
      <c r="C621" s="111"/>
      <c r="D621" s="1"/>
      <c r="E621" s="1"/>
      <c r="F621" s="1"/>
      <c r="G621" s="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 ht="12.75" customHeight="1">
      <c r="A622" s="111"/>
      <c r="B622" s="111"/>
      <c r="C622" s="111"/>
      <c r="D622" s="1"/>
      <c r="E622" s="1"/>
      <c r="F622" s="1"/>
      <c r="G622" s="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 ht="12.75" customHeight="1">
      <c r="A623" s="111"/>
      <c r="B623" s="111"/>
      <c r="C623" s="111"/>
      <c r="D623" s="1"/>
      <c r="E623" s="1"/>
      <c r="F623" s="1"/>
      <c r="G623" s="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 ht="12.75" customHeight="1">
      <c r="A624" s="111"/>
      <c r="B624" s="111"/>
      <c r="C624" s="111"/>
      <c r="D624" s="1"/>
      <c r="E624" s="1"/>
      <c r="F624" s="1"/>
      <c r="G624" s="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 ht="12.75" customHeight="1">
      <c r="A625" s="111"/>
      <c r="B625" s="111"/>
      <c r="C625" s="111"/>
      <c r="D625" s="1"/>
      <c r="E625" s="1"/>
      <c r="F625" s="1"/>
      <c r="G625" s="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 ht="12.75" customHeight="1">
      <c r="A626" s="111"/>
      <c r="B626" s="111"/>
      <c r="C626" s="111"/>
      <c r="D626" s="1"/>
      <c r="E626" s="1"/>
      <c r="F626" s="1"/>
      <c r="G626" s="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 ht="12.75" customHeight="1">
      <c r="A627" s="111"/>
      <c r="B627" s="111"/>
      <c r="C627" s="111"/>
      <c r="D627" s="1"/>
      <c r="E627" s="1"/>
      <c r="F627" s="1"/>
      <c r="G627" s="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 ht="12.75" customHeight="1">
      <c r="A628" s="111"/>
      <c r="B628" s="111"/>
      <c r="C628" s="111"/>
      <c r="D628" s="1"/>
      <c r="E628" s="1"/>
      <c r="F628" s="1"/>
      <c r="G628" s="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 ht="12.75" customHeight="1">
      <c r="A629" s="111"/>
      <c r="B629" s="111"/>
      <c r="C629" s="111"/>
      <c r="D629" s="1"/>
      <c r="E629" s="1"/>
      <c r="F629" s="1"/>
      <c r="G629" s="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 ht="12.75" customHeight="1">
      <c r="A630" s="111"/>
      <c r="B630" s="111"/>
      <c r="C630" s="111"/>
      <c r="D630" s="1"/>
      <c r="E630" s="1"/>
      <c r="F630" s="1"/>
      <c r="G630" s="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 ht="12.75" customHeight="1">
      <c r="A631" s="111"/>
      <c r="B631" s="111"/>
      <c r="C631" s="111"/>
      <c r="D631" s="1"/>
      <c r="E631" s="1"/>
      <c r="F631" s="1"/>
      <c r="G631" s="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 ht="12.75" customHeight="1">
      <c r="A632" s="111"/>
      <c r="B632" s="111"/>
      <c r="C632" s="111"/>
      <c r="D632" s="1"/>
      <c r="E632" s="1"/>
      <c r="F632" s="1"/>
      <c r="G632" s="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 ht="12.75" customHeight="1">
      <c r="A633" s="111"/>
      <c r="B633" s="111"/>
      <c r="C633" s="111"/>
      <c r="D633" s="1"/>
      <c r="E633" s="1"/>
      <c r="F633" s="1"/>
      <c r="G633" s="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 ht="12.75" customHeight="1">
      <c r="A634" s="111"/>
      <c r="B634" s="111"/>
      <c r="C634" s="111"/>
      <c r="D634" s="1"/>
      <c r="E634" s="1"/>
      <c r="F634" s="1"/>
      <c r="G634" s="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 ht="12.75" customHeight="1">
      <c r="A635" s="111"/>
      <c r="B635" s="111"/>
      <c r="C635" s="111"/>
      <c r="D635" s="1"/>
      <c r="E635" s="1"/>
      <c r="F635" s="1"/>
      <c r="G635" s="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 ht="12.75" customHeight="1">
      <c r="A636" s="111"/>
      <c r="B636" s="111"/>
      <c r="C636" s="111"/>
      <c r="D636" s="1"/>
      <c r="E636" s="1"/>
      <c r="F636" s="1"/>
      <c r="G636" s="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 ht="12.75" customHeight="1">
      <c r="A637" s="111"/>
      <c r="B637" s="111"/>
      <c r="C637" s="111"/>
      <c r="D637" s="1"/>
      <c r="E637" s="1"/>
      <c r="F637" s="1"/>
      <c r="G637" s="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 ht="12.75" customHeight="1">
      <c r="A638" s="111"/>
      <c r="B638" s="111"/>
      <c r="C638" s="111"/>
      <c r="D638" s="1"/>
      <c r="E638" s="1"/>
      <c r="F638" s="1"/>
      <c r="G638" s="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 ht="12.75" customHeight="1">
      <c r="A639" s="111"/>
      <c r="B639" s="111"/>
      <c r="C639" s="111"/>
      <c r="D639" s="1"/>
      <c r="E639" s="1"/>
      <c r="F639" s="1"/>
      <c r="G639" s="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 ht="12.75" customHeight="1">
      <c r="A640" s="111"/>
      <c r="B640" s="111"/>
      <c r="C640" s="111"/>
      <c r="D640" s="1"/>
      <c r="E640" s="1"/>
      <c r="F640" s="1"/>
      <c r="G640" s="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 ht="12.75" customHeight="1">
      <c r="A641" s="111"/>
      <c r="B641" s="111"/>
      <c r="C641" s="111"/>
      <c r="D641" s="1"/>
      <c r="E641" s="1"/>
      <c r="F641" s="1"/>
      <c r="G641" s="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 ht="12.75" customHeight="1">
      <c r="A642" s="111"/>
      <c r="B642" s="111"/>
      <c r="C642" s="111"/>
      <c r="D642" s="1"/>
      <c r="E642" s="1"/>
      <c r="F642" s="1"/>
      <c r="G642" s="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 ht="12.75" customHeight="1">
      <c r="A643" s="111"/>
      <c r="B643" s="111"/>
      <c r="C643" s="111"/>
      <c r="D643" s="1"/>
      <c r="E643" s="1"/>
      <c r="F643" s="1"/>
      <c r="G643" s="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 ht="12.75" customHeight="1">
      <c r="A644" s="111"/>
      <c r="B644" s="111"/>
      <c r="C644" s="111"/>
      <c r="D644" s="1"/>
      <c r="E644" s="1"/>
      <c r="F644" s="1"/>
      <c r="G644" s="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 ht="12.75" customHeight="1">
      <c r="A645" s="111"/>
      <c r="B645" s="111"/>
      <c r="C645" s="111"/>
      <c r="D645" s="1"/>
      <c r="E645" s="1"/>
      <c r="F645" s="1"/>
      <c r="G645" s="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 ht="12.75" customHeight="1">
      <c r="A646" s="111"/>
      <c r="B646" s="111"/>
      <c r="C646" s="111"/>
      <c r="D646" s="1"/>
      <c r="E646" s="1"/>
      <c r="F646" s="1"/>
      <c r="G646" s="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 ht="12.75" customHeight="1">
      <c r="A647" s="111"/>
      <c r="B647" s="111"/>
      <c r="C647" s="111"/>
      <c r="D647" s="1"/>
      <c r="E647" s="1"/>
      <c r="F647" s="1"/>
      <c r="G647" s="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 ht="12.75" customHeight="1">
      <c r="A648" s="111"/>
      <c r="B648" s="111"/>
      <c r="C648" s="111"/>
      <c r="D648" s="1"/>
      <c r="E648" s="1"/>
      <c r="F648" s="1"/>
      <c r="G648" s="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 ht="12.75" customHeight="1">
      <c r="A649" s="111"/>
      <c r="B649" s="111"/>
      <c r="C649" s="111"/>
      <c r="D649" s="1"/>
      <c r="E649" s="1"/>
      <c r="F649" s="1"/>
      <c r="G649" s="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 ht="12.75" customHeight="1">
      <c r="A650" s="111"/>
      <c r="B650" s="111"/>
      <c r="C650" s="111"/>
      <c r="D650" s="1"/>
      <c r="E650" s="1"/>
      <c r="F650" s="1"/>
      <c r="G650" s="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 ht="12.75" customHeight="1">
      <c r="A651" s="111"/>
      <c r="B651" s="111"/>
      <c r="C651" s="111"/>
      <c r="D651" s="1"/>
      <c r="E651" s="1"/>
      <c r="F651" s="1"/>
      <c r="G651" s="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 ht="12.75" customHeight="1">
      <c r="A652" s="111"/>
      <c r="B652" s="111"/>
      <c r="C652" s="111"/>
      <c r="D652" s="1"/>
      <c r="E652" s="1"/>
      <c r="F652" s="1"/>
      <c r="G652" s="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 ht="12.75" customHeight="1">
      <c r="A653" s="111"/>
      <c r="B653" s="111"/>
      <c r="C653" s="111"/>
      <c r="D653" s="1"/>
      <c r="E653" s="1"/>
      <c r="F653" s="1"/>
      <c r="G653" s="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 ht="12.75" customHeight="1">
      <c r="A654" s="111"/>
      <c r="B654" s="111"/>
      <c r="C654" s="111"/>
      <c r="D654" s="1"/>
      <c r="E654" s="1"/>
      <c r="F654" s="1"/>
      <c r="G654" s="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 ht="12.75" customHeight="1">
      <c r="A655" s="111"/>
      <c r="B655" s="111"/>
      <c r="C655" s="111"/>
      <c r="D655" s="1"/>
      <c r="E655" s="1"/>
      <c r="F655" s="1"/>
      <c r="G655" s="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 ht="12.75" customHeight="1">
      <c r="A656" s="111"/>
      <c r="B656" s="111"/>
      <c r="C656" s="111"/>
      <c r="D656" s="1"/>
      <c r="E656" s="1"/>
      <c r="F656" s="1"/>
      <c r="G656" s="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 ht="12.75" customHeight="1">
      <c r="A657" s="111"/>
      <c r="B657" s="111"/>
      <c r="C657" s="111"/>
      <c r="D657" s="1"/>
      <c r="E657" s="1"/>
      <c r="F657" s="1"/>
      <c r="G657" s="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 ht="12.75" customHeight="1">
      <c r="A658" s="111"/>
      <c r="B658" s="111"/>
      <c r="C658" s="111"/>
      <c r="D658" s="1"/>
      <c r="E658" s="1"/>
      <c r="F658" s="1"/>
      <c r="G658" s="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 ht="12.75" customHeight="1">
      <c r="A659" s="111"/>
      <c r="B659" s="111"/>
      <c r="C659" s="111"/>
      <c r="D659" s="1"/>
      <c r="E659" s="1"/>
      <c r="F659" s="1"/>
      <c r="G659" s="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 ht="12.75" customHeight="1">
      <c r="A660" s="111"/>
      <c r="B660" s="111"/>
      <c r="C660" s="111"/>
      <c r="D660" s="1"/>
      <c r="E660" s="1"/>
      <c r="F660" s="1"/>
      <c r="G660" s="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 ht="12.75" customHeight="1">
      <c r="A661" s="111"/>
      <c r="B661" s="111"/>
      <c r="C661" s="111"/>
      <c r="D661" s="1"/>
      <c r="E661" s="1"/>
      <c r="F661" s="1"/>
      <c r="G661" s="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 ht="12.75" customHeight="1">
      <c r="A662" s="111"/>
      <c r="B662" s="111"/>
      <c r="C662" s="111"/>
      <c r="D662" s="1"/>
      <c r="E662" s="1"/>
      <c r="F662" s="1"/>
      <c r="G662" s="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 ht="12.75" customHeight="1">
      <c r="A663" s="111"/>
      <c r="B663" s="111"/>
      <c r="C663" s="111"/>
      <c r="D663" s="1"/>
      <c r="E663" s="1"/>
      <c r="F663" s="1"/>
      <c r="G663" s="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 ht="12.75" customHeight="1">
      <c r="A664" s="111"/>
      <c r="B664" s="111"/>
      <c r="C664" s="111"/>
      <c r="D664" s="1"/>
      <c r="E664" s="1"/>
      <c r="F664" s="1"/>
      <c r="G664" s="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 ht="12.75" customHeight="1">
      <c r="A665" s="111"/>
      <c r="B665" s="111"/>
      <c r="C665" s="111"/>
      <c r="D665" s="1"/>
      <c r="E665" s="1"/>
      <c r="F665" s="1"/>
      <c r="G665" s="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 ht="12.75" customHeight="1">
      <c r="A666" s="111"/>
      <c r="B666" s="111"/>
      <c r="C666" s="111"/>
      <c r="D666" s="1"/>
      <c r="E666" s="1"/>
      <c r="F666" s="1"/>
      <c r="G666" s="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 ht="12.75" customHeight="1">
      <c r="A667" s="111"/>
      <c r="B667" s="111"/>
      <c r="C667" s="111"/>
      <c r="D667" s="1"/>
      <c r="E667" s="1"/>
      <c r="F667" s="1"/>
      <c r="G667" s="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 ht="12.75" customHeight="1">
      <c r="A668" s="111"/>
      <c r="B668" s="111"/>
      <c r="C668" s="111"/>
      <c r="D668" s="1"/>
      <c r="E668" s="1"/>
      <c r="F668" s="1"/>
      <c r="G668" s="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 ht="12.75" customHeight="1">
      <c r="A669" s="111"/>
      <c r="B669" s="111"/>
      <c r="C669" s="111"/>
      <c r="D669" s="1"/>
      <c r="E669" s="1"/>
      <c r="F669" s="1"/>
      <c r="G669" s="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 ht="12.75" customHeight="1">
      <c r="A670" s="111"/>
      <c r="B670" s="111"/>
      <c r="C670" s="111"/>
      <c r="D670" s="1"/>
      <c r="E670" s="1"/>
      <c r="F670" s="1"/>
      <c r="G670" s="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 ht="12.75" customHeight="1">
      <c r="A671" s="111"/>
      <c r="B671" s="111"/>
      <c r="C671" s="111"/>
      <c r="D671" s="1"/>
      <c r="E671" s="1"/>
      <c r="F671" s="1"/>
      <c r="G671" s="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 ht="12.75" customHeight="1">
      <c r="A672" s="111"/>
      <c r="B672" s="111"/>
      <c r="C672" s="111"/>
      <c r="D672" s="1"/>
      <c r="E672" s="1"/>
      <c r="F672" s="1"/>
      <c r="G672" s="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 ht="12.75" customHeight="1">
      <c r="A673" s="111"/>
      <c r="B673" s="111"/>
      <c r="C673" s="111"/>
      <c r="D673" s="1"/>
      <c r="E673" s="1"/>
      <c r="F673" s="1"/>
      <c r="G673" s="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 ht="12.75" customHeight="1">
      <c r="A674" s="111"/>
      <c r="B674" s="111"/>
      <c r="C674" s="111"/>
      <c r="D674" s="1"/>
      <c r="E674" s="1"/>
      <c r="F674" s="1"/>
      <c r="G674" s="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 ht="12.75" customHeight="1">
      <c r="A675" s="111"/>
      <c r="B675" s="111"/>
      <c r="C675" s="111"/>
      <c r="D675" s="1"/>
      <c r="E675" s="1"/>
      <c r="F675" s="1"/>
      <c r="G675" s="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 ht="12.75" customHeight="1">
      <c r="A676" s="111"/>
      <c r="B676" s="111"/>
      <c r="C676" s="111"/>
      <c r="D676" s="1"/>
      <c r="E676" s="1"/>
      <c r="F676" s="1"/>
      <c r="G676" s="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 ht="12.75" customHeight="1">
      <c r="A677" s="111"/>
      <c r="B677" s="111"/>
      <c r="C677" s="111"/>
      <c r="D677" s="1"/>
      <c r="E677" s="1"/>
      <c r="F677" s="1"/>
      <c r="G677" s="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 ht="12.75" customHeight="1">
      <c r="A678" s="111"/>
      <c r="B678" s="111"/>
      <c r="C678" s="111"/>
      <c r="D678" s="1"/>
      <c r="E678" s="1"/>
      <c r="F678" s="1"/>
      <c r="G678" s="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 ht="12.75" customHeight="1">
      <c r="A679" s="111"/>
      <c r="B679" s="111"/>
      <c r="C679" s="111"/>
      <c r="D679" s="1"/>
      <c r="E679" s="1"/>
      <c r="F679" s="1"/>
      <c r="G679" s="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 ht="12.75" customHeight="1">
      <c r="A680" s="111"/>
      <c r="B680" s="111"/>
      <c r="C680" s="111"/>
      <c r="D680" s="1"/>
      <c r="E680" s="1"/>
      <c r="F680" s="1"/>
      <c r="G680" s="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 ht="12.75" customHeight="1">
      <c r="A681" s="111"/>
      <c r="B681" s="111"/>
      <c r="C681" s="111"/>
      <c r="D681" s="1"/>
      <c r="E681" s="1"/>
      <c r="F681" s="1"/>
      <c r="G681" s="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 ht="12.75" customHeight="1">
      <c r="A682" s="111"/>
      <c r="B682" s="111"/>
      <c r="C682" s="111"/>
      <c r="D682" s="1"/>
      <c r="E682" s="1"/>
      <c r="F682" s="1"/>
      <c r="G682" s="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 ht="12.75" customHeight="1">
      <c r="A683" s="111"/>
      <c r="B683" s="111"/>
      <c r="C683" s="111"/>
      <c r="D683" s="1"/>
      <c r="E683" s="1"/>
      <c r="F683" s="1"/>
      <c r="G683" s="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 ht="12.75" customHeight="1">
      <c r="A684" s="111"/>
      <c r="B684" s="111"/>
      <c r="C684" s="111"/>
      <c r="D684" s="1"/>
      <c r="E684" s="1"/>
      <c r="F684" s="1"/>
      <c r="G684" s="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 ht="12.75" customHeight="1">
      <c r="A685" s="111"/>
      <c r="B685" s="111"/>
      <c r="C685" s="111"/>
      <c r="D685" s="1"/>
      <c r="E685" s="1"/>
      <c r="F685" s="1"/>
      <c r="G685" s="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 ht="12.75" customHeight="1">
      <c r="A686" s="111"/>
      <c r="B686" s="111"/>
      <c r="C686" s="111"/>
      <c r="D686" s="1"/>
      <c r="E686" s="1"/>
      <c r="F686" s="1"/>
      <c r="G686" s="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 ht="12.75" customHeight="1">
      <c r="A687" s="111"/>
      <c r="B687" s="111"/>
      <c r="C687" s="111"/>
      <c r="D687" s="1"/>
      <c r="E687" s="1"/>
      <c r="F687" s="1"/>
      <c r="G687" s="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 ht="12.75" customHeight="1">
      <c r="A688" s="111"/>
      <c r="B688" s="111"/>
      <c r="C688" s="111"/>
      <c r="D688" s="1"/>
      <c r="E688" s="1"/>
      <c r="F688" s="1"/>
      <c r="G688" s="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 ht="12.75" customHeight="1">
      <c r="A689" s="111"/>
      <c r="B689" s="111"/>
      <c r="C689" s="111"/>
      <c r="D689" s="1"/>
      <c r="E689" s="1"/>
      <c r="F689" s="1"/>
      <c r="G689" s="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 ht="12.75" customHeight="1">
      <c r="A690" s="111"/>
      <c r="B690" s="111"/>
      <c r="C690" s="111"/>
      <c r="D690" s="1"/>
      <c r="E690" s="1"/>
      <c r="F690" s="1"/>
      <c r="G690" s="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 ht="12.75" customHeight="1">
      <c r="A691" s="111"/>
      <c r="B691" s="111"/>
      <c r="C691" s="111"/>
      <c r="D691" s="1"/>
      <c r="E691" s="1"/>
      <c r="F691" s="1"/>
      <c r="G691" s="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 ht="12.75" customHeight="1">
      <c r="A692" s="111"/>
      <c r="B692" s="111"/>
      <c r="C692" s="111"/>
      <c r="D692" s="1"/>
      <c r="E692" s="1"/>
      <c r="F692" s="1"/>
      <c r="G692" s="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 ht="12.75" customHeight="1">
      <c r="A693" s="111"/>
      <c r="B693" s="111"/>
      <c r="C693" s="111"/>
      <c r="D693" s="1"/>
      <c r="E693" s="1"/>
      <c r="F693" s="1"/>
      <c r="G693" s="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 ht="12.75" customHeight="1">
      <c r="A694" s="111"/>
      <c r="B694" s="111"/>
      <c r="C694" s="111"/>
      <c r="D694" s="1"/>
      <c r="E694" s="1"/>
      <c r="F694" s="1"/>
      <c r="G694" s="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 ht="12.75" customHeight="1">
      <c r="A695" s="111"/>
      <c r="B695" s="111"/>
      <c r="C695" s="111"/>
      <c r="D695" s="1"/>
      <c r="E695" s="1"/>
      <c r="F695" s="1"/>
      <c r="G695" s="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 ht="12.75" customHeight="1">
      <c r="A696" s="111"/>
      <c r="B696" s="111"/>
      <c r="C696" s="111"/>
      <c r="D696" s="1"/>
      <c r="E696" s="1"/>
      <c r="F696" s="1"/>
      <c r="G696" s="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 ht="12.75" customHeight="1">
      <c r="A697" s="111"/>
      <c r="B697" s="111"/>
      <c r="C697" s="111"/>
      <c r="D697" s="1"/>
      <c r="E697" s="1"/>
      <c r="F697" s="1"/>
      <c r="G697" s="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 ht="12.75" customHeight="1">
      <c r="A698" s="111"/>
      <c r="B698" s="111"/>
      <c r="C698" s="111"/>
      <c r="D698" s="1"/>
      <c r="E698" s="1"/>
      <c r="F698" s="1"/>
      <c r="G698" s="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 ht="12.75" customHeight="1">
      <c r="A699" s="111"/>
      <c r="B699" s="111"/>
      <c r="C699" s="111"/>
      <c r="D699" s="1"/>
      <c r="E699" s="1"/>
      <c r="F699" s="1"/>
      <c r="G699" s="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 ht="12.75" customHeight="1">
      <c r="A700" s="111"/>
      <c r="B700" s="111"/>
      <c r="C700" s="111"/>
      <c r="D700" s="1"/>
      <c r="E700" s="1"/>
      <c r="F700" s="1"/>
      <c r="G700" s="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 ht="12.75" customHeight="1">
      <c r="A701" s="111"/>
      <c r="B701" s="111"/>
      <c r="C701" s="111"/>
      <c r="D701" s="1"/>
      <c r="E701" s="1"/>
      <c r="F701" s="1"/>
      <c r="G701" s="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 ht="12.75" customHeight="1">
      <c r="A702" s="111"/>
      <c r="B702" s="111"/>
      <c r="C702" s="111"/>
      <c r="D702" s="1"/>
      <c r="E702" s="1"/>
      <c r="F702" s="1"/>
      <c r="G702" s="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 ht="12.75" customHeight="1">
      <c r="A703" s="111"/>
      <c r="B703" s="111"/>
      <c r="C703" s="111"/>
      <c r="D703" s="1"/>
      <c r="E703" s="1"/>
      <c r="F703" s="1"/>
      <c r="G703" s="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 ht="12.75" customHeight="1">
      <c r="A704" s="111"/>
      <c r="B704" s="111"/>
      <c r="C704" s="111"/>
      <c r="D704" s="1"/>
      <c r="E704" s="1"/>
      <c r="F704" s="1"/>
      <c r="G704" s="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 ht="12.75" customHeight="1">
      <c r="A705" s="111"/>
      <c r="B705" s="111"/>
      <c r="C705" s="111"/>
      <c r="D705" s="1"/>
      <c r="E705" s="1"/>
      <c r="F705" s="1"/>
      <c r="G705" s="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 ht="12.75" customHeight="1">
      <c r="A706" s="111"/>
      <c r="B706" s="111"/>
      <c r="C706" s="111"/>
      <c r="D706" s="1"/>
      <c r="E706" s="1"/>
      <c r="F706" s="1"/>
      <c r="G706" s="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 ht="12.75" customHeight="1">
      <c r="A707" s="111"/>
      <c r="B707" s="111"/>
      <c r="C707" s="111"/>
      <c r="D707" s="1"/>
      <c r="E707" s="1"/>
      <c r="F707" s="1"/>
      <c r="G707" s="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 ht="12.75" customHeight="1">
      <c r="A708" s="111"/>
      <c r="B708" s="111"/>
      <c r="C708" s="111"/>
      <c r="D708" s="1"/>
      <c r="E708" s="1"/>
      <c r="F708" s="1"/>
      <c r="G708" s="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 ht="12.75" customHeight="1">
      <c r="A709" s="111"/>
      <c r="B709" s="111"/>
      <c r="C709" s="111"/>
      <c r="D709" s="1"/>
      <c r="E709" s="1"/>
      <c r="F709" s="1"/>
      <c r="G709" s="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 ht="12.75" customHeight="1">
      <c r="A710" s="111"/>
      <c r="B710" s="111"/>
      <c r="C710" s="111"/>
      <c r="D710" s="1"/>
      <c r="E710" s="1"/>
      <c r="F710" s="1"/>
      <c r="G710" s="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 ht="12.75" customHeight="1">
      <c r="A711" s="111"/>
      <c r="B711" s="111"/>
      <c r="C711" s="111"/>
      <c r="D711" s="1"/>
      <c r="E711" s="1"/>
      <c r="F711" s="1"/>
      <c r="G711" s="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 ht="12.75" customHeight="1">
      <c r="A712" s="111"/>
      <c r="B712" s="111"/>
      <c r="C712" s="111"/>
      <c r="D712" s="1"/>
      <c r="E712" s="1"/>
      <c r="F712" s="1"/>
      <c r="G712" s="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 ht="12.75" customHeight="1">
      <c r="A713" s="111"/>
      <c r="B713" s="111"/>
      <c r="C713" s="111"/>
      <c r="D713" s="1"/>
      <c r="E713" s="1"/>
      <c r="F713" s="1"/>
      <c r="G713" s="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 ht="12.75" customHeight="1">
      <c r="A714" s="111"/>
      <c r="B714" s="111"/>
      <c r="C714" s="111"/>
      <c r="D714" s="1"/>
      <c r="E714" s="1"/>
      <c r="F714" s="1"/>
      <c r="G714" s="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 ht="12.75" customHeight="1">
      <c r="A715" s="111"/>
      <c r="B715" s="111"/>
      <c r="C715" s="111"/>
      <c r="D715" s="1"/>
      <c r="E715" s="1"/>
      <c r="F715" s="1"/>
      <c r="G715" s="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 ht="12.75" customHeight="1">
      <c r="A716" s="111"/>
      <c r="B716" s="111"/>
      <c r="C716" s="111"/>
      <c r="D716" s="1"/>
      <c r="E716" s="1"/>
      <c r="F716" s="1"/>
      <c r="G716" s="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 ht="12.75" customHeight="1">
      <c r="A717" s="111"/>
      <c r="B717" s="111"/>
      <c r="C717" s="111"/>
      <c r="D717" s="1"/>
      <c r="E717" s="1"/>
      <c r="F717" s="1"/>
      <c r="G717" s="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 ht="12.75" customHeight="1">
      <c r="A718" s="111"/>
      <c r="B718" s="111"/>
      <c r="C718" s="111"/>
      <c r="D718" s="1"/>
      <c r="E718" s="1"/>
      <c r="F718" s="1"/>
      <c r="G718" s="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 ht="12.75" customHeight="1">
      <c r="A719" s="111"/>
      <c r="B719" s="111"/>
      <c r="C719" s="111"/>
      <c r="D719" s="1"/>
      <c r="E719" s="1"/>
      <c r="F719" s="1"/>
      <c r="G719" s="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 ht="12.75" customHeight="1">
      <c r="A720" s="111"/>
      <c r="B720" s="111"/>
      <c r="C720" s="111"/>
      <c r="D720" s="1"/>
      <c r="E720" s="1"/>
      <c r="F720" s="1"/>
      <c r="G720" s="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 ht="12.75" customHeight="1">
      <c r="A721" s="111"/>
      <c r="B721" s="111"/>
      <c r="C721" s="111"/>
      <c r="D721" s="1"/>
      <c r="E721" s="1"/>
      <c r="F721" s="1"/>
      <c r="G721" s="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 ht="12.75" customHeight="1">
      <c r="A722" s="111"/>
      <c r="B722" s="111"/>
      <c r="C722" s="111"/>
      <c r="D722" s="1"/>
      <c r="E722" s="1"/>
      <c r="F722" s="1"/>
      <c r="G722" s="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 ht="12.75" customHeight="1">
      <c r="A723" s="111"/>
      <c r="B723" s="111"/>
      <c r="C723" s="111"/>
      <c r="D723" s="1"/>
      <c r="E723" s="1"/>
      <c r="F723" s="1"/>
      <c r="G723" s="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 ht="12.75" customHeight="1">
      <c r="A724" s="111"/>
      <c r="B724" s="111"/>
      <c r="C724" s="111"/>
      <c r="D724" s="1"/>
      <c r="E724" s="1"/>
      <c r="F724" s="1"/>
      <c r="G724" s="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 ht="12.75" customHeight="1">
      <c r="A725" s="111"/>
      <c r="B725" s="111"/>
      <c r="C725" s="111"/>
      <c r="D725" s="1"/>
      <c r="E725" s="1"/>
      <c r="F725" s="1"/>
      <c r="G725" s="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 ht="12.75" customHeight="1">
      <c r="A726" s="111"/>
      <c r="B726" s="111"/>
      <c r="C726" s="111"/>
      <c r="D726" s="1"/>
      <c r="E726" s="1"/>
      <c r="F726" s="1"/>
      <c r="G726" s="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 ht="12.75" customHeight="1">
      <c r="A727" s="111"/>
      <c r="B727" s="111"/>
      <c r="C727" s="111"/>
      <c r="D727" s="1"/>
      <c r="E727" s="1"/>
      <c r="F727" s="1"/>
      <c r="G727" s="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 ht="12.75" customHeight="1">
      <c r="A728" s="111"/>
      <c r="B728" s="111"/>
      <c r="C728" s="111"/>
      <c r="D728" s="1"/>
      <c r="E728" s="1"/>
      <c r="F728" s="1"/>
      <c r="G728" s="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 ht="12.75" customHeight="1">
      <c r="A729" s="111"/>
      <c r="B729" s="111"/>
      <c r="C729" s="111"/>
      <c r="D729" s="1"/>
      <c r="E729" s="1"/>
      <c r="F729" s="1"/>
      <c r="G729" s="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 ht="12.75" customHeight="1">
      <c r="A730" s="111"/>
      <c r="B730" s="111"/>
      <c r="C730" s="111"/>
      <c r="D730" s="1"/>
      <c r="E730" s="1"/>
      <c r="F730" s="1"/>
      <c r="G730" s="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 ht="12.75" customHeight="1">
      <c r="A731" s="111"/>
      <c r="B731" s="111"/>
      <c r="C731" s="111"/>
      <c r="D731" s="1"/>
      <c r="E731" s="1"/>
      <c r="F731" s="1"/>
      <c r="G731" s="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 ht="12.75" customHeight="1">
      <c r="A732" s="111"/>
      <c r="B732" s="111"/>
      <c r="C732" s="111"/>
      <c r="D732" s="1"/>
      <c r="E732" s="1"/>
      <c r="F732" s="1"/>
      <c r="G732" s="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 ht="12.75" customHeight="1">
      <c r="A733" s="111"/>
      <c r="B733" s="111"/>
      <c r="C733" s="111"/>
      <c r="D733" s="1"/>
      <c r="E733" s="1"/>
      <c r="F733" s="1"/>
      <c r="G733" s="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 ht="12.75" customHeight="1">
      <c r="A734" s="111"/>
      <c r="B734" s="111"/>
      <c r="C734" s="111"/>
      <c r="D734" s="1"/>
      <c r="E734" s="1"/>
      <c r="F734" s="1"/>
      <c r="G734" s="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 ht="12.75" customHeight="1">
      <c r="A735" s="111"/>
      <c r="B735" s="111"/>
      <c r="C735" s="111"/>
      <c r="D735" s="1"/>
      <c r="E735" s="1"/>
      <c r="F735" s="1"/>
      <c r="G735" s="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 ht="12.75" customHeight="1">
      <c r="A736" s="111"/>
      <c r="B736" s="111"/>
      <c r="C736" s="111"/>
      <c r="D736" s="1"/>
      <c r="E736" s="1"/>
      <c r="F736" s="1"/>
      <c r="G736" s="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 ht="12.75" customHeight="1">
      <c r="A737" s="111"/>
      <c r="B737" s="111"/>
      <c r="C737" s="111"/>
      <c r="D737" s="1"/>
      <c r="E737" s="1"/>
      <c r="F737" s="1"/>
      <c r="G737" s="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 ht="12.75" customHeight="1">
      <c r="A738" s="111"/>
      <c r="B738" s="111"/>
      <c r="C738" s="111"/>
      <c r="D738" s="1"/>
      <c r="E738" s="1"/>
      <c r="F738" s="1"/>
      <c r="G738" s="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 ht="12.75" customHeight="1">
      <c r="A739" s="111"/>
      <c r="B739" s="111"/>
      <c r="C739" s="111"/>
      <c r="D739" s="1"/>
      <c r="E739" s="1"/>
      <c r="F739" s="1"/>
      <c r="G739" s="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 ht="12.75" customHeight="1">
      <c r="A740" s="111"/>
      <c r="B740" s="111"/>
      <c r="C740" s="111"/>
      <c r="D740" s="1"/>
      <c r="E740" s="1"/>
      <c r="F740" s="1"/>
      <c r="G740" s="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 ht="12.75" customHeight="1">
      <c r="A741" s="111"/>
      <c r="B741" s="111"/>
      <c r="C741" s="111"/>
      <c r="D741" s="1"/>
      <c r="E741" s="1"/>
      <c r="F741" s="1"/>
      <c r="G741" s="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 ht="12.75" customHeight="1">
      <c r="A742" s="111"/>
      <c r="B742" s="111"/>
      <c r="C742" s="111"/>
      <c r="D742" s="1"/>
      <c r="E742" s="1"/>
      <c r="F742" s="1"/>
      <c r="G742" s="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 ht="12.75" customHeight="1">
      <c r="A743" s="111"/>
      <c r="B743" s="111"/>
      <c r="C743" s="111"/>
      <c r="D743" s="1"/>
      <c r="E743" s="1"/>
      <c r="F743" s="1"/>
      <c r="G743" s="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 ht="12.75" customHeight="1">
      <c r="A744" s="111"/>
      <c r="B744" s="111"/>
      <c r="C744" s="111"/>
      <c r="D744" s="1"/>
      <c r="E744" s="1"/>
      <c r="F744" s="1"/>
      <c r="G744" s="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 ht="12.75" customHeight="1">
      <c r="A745" s="111"/>
      <c r="B745" s="111"/>
      <c r="C745" s="111"/>
      <c r="D745" s="1"/>
      <c r="E745" s="1"/>
      <c r="F745" s="1"/>
      <c r="G745" s="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 ht="12.75" customHeight="1">
      <c r="A746" s="111"/>
      <c r="B746" s="111"/>
      <c r="C746" s="111"/>
      <c r="D746" s="1"/>
      <c r="E746" s="1"/>
      <c r="F746" s="1"/>
      <c r="G746" s="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 ht="12.75" customHeight="1">
      <c r="A747" s="111"/>
      <c r="B747" s="111"/>
      <c r="C747" s="111"/>
      <c r="D747" s="1"/>
      <c r="E747" s="1"/>
      <c r="F747" s="1"/>
      <c r="G747" s="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 ht="12.75" customHeight="1">
      <c r="A748" s="111"/>
      <c r="B748" s="111"/>
      <c r="C748" s="111"/>
      <c r="D748" s="1"/>
      <c r="E748" s="1"/>
      <c r="F748" s="1"/>
      <c r="G748" s="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 ht="12.75" customHeight="1">
      <c r="A749" s="111"/>
      <c r="B749" s="111"/>
      <c r="C749" s="111"/>
      <c r="D749" s="1"/>
      <c r="E749" s="1"/>
      <c r="F749" s="1"/>
      <c r="G749" s="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 ht="12.75" customHeight="1">
      <c r="A750" s="111"/>
      <c r="B750" s="111"/>
      <c r="C750" s="111"/>
      <c r="D750" s="1"/>
      <c r="E750" s="1"/>
      <c r="F750" s="1"/>
      <c r="G750" s="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 ht="12.75" customHeight="1">
      <c r="A751" s="111"/>
      <c r="B751" s="111"/>
      <c r="C751" s="111"/>
      <c r="D751" s="1"/>
      <c r="E751" s="1"/>
      <c r="F751" s="1"/>
      <c r="G751" s="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 ht="12.75" customHeight="1">
      <c r="A752" s="111"/>
      <c r="B752" s="111"/>
      <c r="C752" s="111"/>
      <c r="D752" s="1"/>
      <c r="E752" s="1"/>
      <c r="F752" s="1"/>
      <c r="G752" s="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 ht="12.75" customHeight="1">
      <c r="A753" s="111"/>
      <c r="B753" s="111"/>
      <c r="C753" s="111"/>
      <c r="D753" s="1"/>
      <c r="E753" s="1"/>
      <c r="F753" s="1"/>
      <c r="G753" s="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 ht="12.75" customHeight="1">
      <c r="A754" s="111"/>
      <c r="B754" s="111"/>
      <c r="C754" s="111"/>
      <c r="D754" s="1"/>
      <c r="E754" s="1"/>
      <c r="F754" s="1"/>
      <c r="G754" s="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 ht="12.75" customHeight="1">
      <c r="A755" s="111"/>
      <c r="B755" s="111"/>
      <c r="C755" s="111"/>
      <c r="D755" s="1"/>
      <c r="E755" s="1"/>
      <c r="F755" s="1"/>
      <c r="G755" s="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 ht="12.75" customHeight="1">
      <c r="A756" s="111"/>
      <c r="B756" s="111"/>
      <c r="C756" s="111"/>
      <c r="D756" s="1"/>
      <c r="E756" s="1"/>
      <c r="F756" s="1"/>
      <c r="G756" s="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 ht="12.75" customHeight="1">
      <c r="A757" s="111"/>
      <c r="B757" s="111"/>
      <c r="C757" s="111"/>
      <c r="D757" s="1"/>
      <c r="E757" s="1"/>
      <c r="F757" s="1"/>
      <c r="G757" s="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 ht="12.75" customHeight="1">
      <c r="A758" s="111"/>
      <c r="B758" s="111"/>
      <c r="C758" s="111"/>
      <c r="D758" s="1"/>
      <c r="E758" s="1"/>
      <c r="F758" s="1"/>
      <c r="G758" s="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 ht="12.75" customHeight="1">
      <c r="A759" s="111"/>
      <c r="B759" s="111"/>
      <c r="C759" s="111"/>
      <c r="D759" s="1"/>
      <c r="E759" s="1"/>
      <c r="F759" s="1"/>
      <c r="G759" s="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 ht="12.75" customHeight="1">
      <c r="A760" s="111"/>
      <c r="B760" s="111"/>
      <c r="C760" s="111"/>
      <c r="D760" s="1"/>
      <c r="E760" s="1"/>
      <c r="F760" s="1"/>
      <c r="G760" s="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 ht="12.75" customHeight="1">
      <c r="A761" s="111"/>
      <c r="B761" s="111"/>
      <c r="C761" s="111"/>
      <c r="D761" s="1"/>
      <c r="E761" s="1"/>
      <c r="F761" s="1"/>
      <c r="G761" s="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 ht="12.75" customHeight="1">
      <c r="A762" s="111"/>
      <c r="B762" s="111"/>
      <c r="C762" s="111"/>
      <c r="D762" s="1"/>
      <c r="E762" s="1"/>
      <c r="F762" s="1"/>
      <c r="G762" s="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 ht="12.75" customHeight="1">
      <c r="A763" s="111"/>
      <c r="B763" s="111"/>
      <c r="C763" s="111"/>
      <c r="D763" s="1"/>
      <c r="E763" s="1"/>
      <c r="F763" s="1"/>
      <c r="G763" s="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 ht="12.75" customHeight="1">
      <c r="A764" s="111"/>
      <c r="B764" s="111"/>
      <c r="C764" s="111"/>
      <c r="D764" s="1"/>
      <c r="E764" s="1"/>
      <c r="F764" s="1"/>
      <c r="G764" s="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 ht="12.75" customHeight="1">
      <c r="A765" s="111"/>
      <c r="B765" s="111"/>
      <c r="C765" s="111"/>
      <c r="D765" s="1"/>
      <c r="E765" s="1"/>
      <c r="F765" s="1"/>
      <c r="G765" s="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 ht="12.75" customHeight="1">
      <c r="A766" s="111"/>
      <c r="B766" s="111"/>
      <c r="C766" s="111"/>
      <c r="D766" s="1"/>
      <c r="E766" s="1"/>
      <c r="F766" s="1"/>
      <c r="G766" s="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 ht="12.75" customHeight="1">
      <c r="A767" s="111"/>
      <c r="B767" s="111"/>
      <c r="C767" s="111"/>
      <c r="D767" s="1"/>
      <c r="E767" s="1"/>
      <c r="F767" s="1"/>
      <c r="G767" s="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 ht="12.75" customHeight="1">
      <c r="A768" s="111"/>
      <c r="B768" s="111"/>
      <c r="C768" s="111"/>
      <c r="D768" s="1"/>
      <c r="E768" s="1"/>
      <c r="F768" s="1"/>
      <c r="G768" s="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 ht="12.75" customHeight="1">
      <c r="A769" s="111"/>
      <c r="B769" s="111"/>
      <c r="C769" s="111"/>
      <c r="D769" s="1"/>
      <c r="E769" s="1"/>
      <c r="F769" s="1"/>
      <c r="G769" s="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 ht="12.75" customHeight="1">
      <c r="A770" s="111"/>
      <c r="B770" s="111"/>
      <c r="C770" s="111"/>
      <c r="D770" s="1"/>
      <c r="E770" s="1"/>
      <c r="F770" s="1"/>
      <c r="G770" s="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 ht="12.75" customHeight="1">
      <c r="A771" s="111"/>
      <c r="B771" s="111"/>
      <c r="C771" s="111"/>
      <c r="D771" s="1"/>
      <c r="E771" s="1"/>
      <c r="F771" s="1"/>
      <c r="G771" s="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 ht="12.75" customHeight="1">
      <c r="A772" s="111"/>
      <c r="B772" s="111"/>
      <c r="C772" s="111"/>
      <c r="D772" s="1"/>
      <c r="E772" s="1"/>
      <c r="F772" s="1"/>
      <c r="G772" s="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 ht="12.75" customHeight="1">
      <c r="A773" s="111"/>
      <c r="B773" s="111"/>
      <c r="C773" s="111"/>
      <c r="D773" s="1"/>
      <c r="E773" s="1"/>
      <c r="F773" s="1"/>
      <c r="G773" s="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 ht="12.75" customHeight="1">
      <c r="A774" s="111"/>
      <c r="B774" s="111"/>
      <c r="C774" s="111"/>
      <c r="D774" s="1"/>
      <c r="E774" s="1"/>
      <c r="F774" s="1"/>
      <c r="G774" s="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 ht="12.75" customHeight="1">
      <c r="A775" s="111"/>
      <c r="B775" s="111"/>
      <c r="C775" s="111"/>
      <c r="D775" s="1"/>
      <c r="E775" s="1"/>
      <c r="F775" s="1"/>
      <c r="G775" s="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 ht="12.75" customHeight="1">
      <c r="A776" s="111"/>
      <c r="B776" s="111"/>
      <c r="C776" s="111"/>
      <c r="D776" s="1"/>
      <c r="E776" s="1"/>
      <c r="F776" s="1"/>
      <c r="G776" s="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 ht="12.75" customHeight="1">
      <c r="A777" s="111"/>
      <c r="B777" s="111"/>
      <c r="C777" s="111"/>
      <c r="D777" s="1"/>
      <c r="E777" s="1"/>
      <c r="F777" s="1"/>
      <c r="G777" s="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 ht="12.75" customHeight="1">
      <c r="A778" s="111"/>
      <c r="B778" s="111"/>
      <c r="C778" s="111"/>
      <c r="D778" s="1"/>
      <c r="E778" s="1"/>
      <c r="F778" s="1"/>
      <c r="G778" s="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 ht="12.75" customHeight="1">
      <c r="A779" s="111"/>
      <c r="B779" s="111"/>
      <c r="C779" s="111"/>
      <c r="D779" s="1"/>
      <c r="E779" s="1"/>
      <c r="F779" s="1"/>
      <c r="G779" s="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 ht="12.75" customHeight="1">
      <c r="A780" s="111"/>
      <c r="B780" s="111"/>
      <c r="C780" s="111"/>
      <c r="D780" s="1"/>
      <c r="E780" s="1"/>
      <c r="F780" s="1"/>
      <c r="G780" s="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 ht="12.75" customHeight="1">
      <c r="A781" s="111"/>
      <c r="B781" s="111"/>
      <c r="C781" s="111"/>
      <c r="D781" s="1"/>
      <c r="E781" s="1"/>
      <c r="F781" s="1"/>
      <c r="G781" s="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 ht="12.75" customHeight="1">
      <c r="A782" s="111"/>
      <c r="B782" s="111"/>
      <c r="C782" s="111"/>
      <c r="D782" s="1"/>
      <c r="E782" s="1"/>
      <c r="F782" s="1"/>
      <c r="G782" s="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 ht="12.75" customHeight="1">
      <c r="A783" s="111"/>
      <c r="B783" s="111"/>
      <c r="C783" s="111"/>
      <c r="D783" s="1"/>
      <c r="E783" s="1"/>
      <c r="F783" s="1"/>
      <c r="G783" s="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 ht="12.75" customHeight="1">
      <c r="A784" s="111"/>
      <c r="B784" s="111"/>
      <c r="C784" s="111"/>
      <c r="D784" s="1"/>
      <c r="E784" s="1"/>
      <c r="F784" s="1"/>
      <c r="G784" s="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 ht="12.75" customHeight="1">
      <c r="A785" s="111"/>
      <c r="B785" s="111"/>
      <c r="C785" s="111"/>
      <c r="D785" s="1"/>
      <c r="E785" s="1"/>
      <c r="F785" s="1"/>
      <c r="G785" s="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 ht="12.75" customHeight="1">
      <c r="A786" s="111"/>
      <c r="B786" s="111"/>
      <c r="C786" s="111"/>
      <c r="D786" s="1"/>
      <c r="E786" s="1"/>
      <c r="F786" s="1"/>
      <c r="G786" s="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 ht="12.75" customHeight="1">
      <c r="A787" s="111"/>
      <c r="B787" s="111"/>
      <c r="C787" s="111"/>
      <c r="D787" s="1"/>
      <c r="E787" s="1"/>
      <c r="F787" s="1"/>
      <c r="G787" s="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 ht="12.75" customHeight="1">
      <c r="A788" s="111"/>
      <c r="B788" s="111"/>
      <c r="C788" s="111"/>
      <c r="D788" s="1"/>
      <c r="E788" s="1"/>
      <c r="F788" s="1"/>
      <c r="G788" s="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 ht="12.75" customHeight="1">
      <c r="A789" s="111"/>
      <c r="B789" s="111"/>
      <c r="C789" s="111"/>
      <c r="D789" s="1"/>
      <c r="E789" s="1"/>
      <c r="F789" s="1"/>
      <c r="G789" s="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 ht="12.75" customHeight="1">
      <c r="A790" s="111"/>
      <c r="B790" s="111"/>
      <c r="C790" s="111"/>
      <c r="D790" s="1"/>
      <c r="E790" s="1"/>
      <c r="F790" s="1"/>
      <c r="G790" s="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 ht="12.75" customHeight="1">
      <c r="A791" s="111"/>
      <c r="B791" s="111"/>
      <c r="C791" s="111"/>
      <c r="D791" s="1"/>
      <c r="E791" s="1"/>
      <c r="F791" s="1"/>
      <c r="G791" s="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 ht="12.75" customHeight="1">
      <c r="A792" s="111"/>
      <c r="B792" s="111"/>
      <c r="C792" s="111"/>
      <c r="D792" s="1"/>
      <c r="E792" s="1"/>
      <c r="F792" s="1"/>
      <c r="G792" s="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 ht="12.75" customHeight="1">
      <c r="A793" s="111"/>
      <c r="B793" s="111"/>
      <c r="C793" s="111"/>
      <c r="D793" s="1"/>
      <c r="E793" s="1"/>
      <c r="F793" s="1"/>
      <c r="G793" s="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 ht="12.75" customHeight="1">
      <c r="A794" s="111"/>
      <c r="B794" s="111"/>
      <c r="C794" s="111"/>
      <c r="D794" s="1"/>
      <c r="E794" s="1"/>
      <c r="F794" s="1"/>
      <c r="G794" s="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 ht="12.75" customHeight="1">
      <c r="A795" s="111"/>
      <c r="B795" s="111"/>
      <c r="C795" s="111"/>
      <c r="D795" s="1"/>
      <c r="E795" s="1"/>
      <c r="F795" s="1"/>
      <c r="G795" s="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 ht="12.75" customHeight="1">
      <c r="A796" s="111"/>
      <c r="B796" s="111"/>
      <c r="C796" s="111"/>
      <c r="D796" s="1"/>
      <c r="E796" s="1"/>
      <c r="F796" s="1"/>
      <c r="G796" s="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 ht="12.75" customHeight="1">
      <c r="A797" s="111"/>
      <c r="B797" s="111"/>
      <c r="C797" s="111"/>
      <c r="D797" s="1"/>
      <c r="E797" s="1"/>
      <c r="F797" s="1"/>
      <c r="G797" s="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 ht="12.75" customHeight="1">
      <c r="A798" s="111"/>
      <c r="B798" s="111"/>
      <c r="C798" s="111"/>
      <c r="D798" s="1"/>
      <c r="E798" s="1"/>
      <c r="F798" s="1"/>
      <c r="G798" s="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 ht="12.75" customHeight="1">
      <c r="A799" s="111"/>
      <c r="B799" s="111"/>
      <c r="C799" s="111"/>
      <c r="D799" s="1"/>
      <c r="E799" s="1"/>
      <c r="F799" s="1"/>
      <c r="G799" s="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 ht="12.75" customHeight="1">
      <c r="A800" s="111"/>
      <c r="B800" s="111"/>
      <c r="C800" s="111"/>
      <c r="D800" s="1"/>
      <c r="E800" s="1"/>
      <c r="F800" s="1"/>
      <c r="G800" s="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 ht="12.75" customHeight="1">
      <c r="A801" s="111"/>
      <c r="B801" s="111"/>
      <c r="C801" s="111"/>
      <c r="D801" s="1"/>
      <c r="E801" s="1"/>
      <c r="F801" s="1"/>
      <c r="G801" s="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 ht="12.75" customHeight="1">
      <c r="A802" s="111"/>
      <c r="B802" s="111"/>
      <c r="C802" s="111"/>
      <c r="D802" s="1"/>
      <c r="E802" s="1"/>
      <c r="F802" s="1"/>
      <c r="G802" s="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 ht="12.75" customHeight="1">
      <c r="A803" s="111"/>
      <c r="B803" s="111"/>
      <c r="C803" s="111"/>
      <c r="D803" s="1"/>
      <c r="E803" s="1"/>
      <c r="F803" s="1"/>
      <c r="G803" s="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 ht="12.75" customHeight="1">
      <c r="A804" s="111"/>
      <c r="B804" s="111"/>
      <c r="C804" s="111"/>
      <c r="D804" s="1"/>
      <c r="E804" s="1"/>
      <c r="F804" s="1"/>
      <c r="G804" s="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 ht="12.75" customHeight="1">
      <c r="A805" s="111"/>
      <c r="B805" s="111"/>
      <c r="C805" s="111"/>
      <c r="D805" s="1"/>
      <c r="E805" s="1"/>
      <c r="F805" s="1"/>
      <c r="G805" s="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 ht="12.75" customHeight="1">
      <c r="A806" s="111"/>
      <c r="B806" s="111"/>
      <c r="C806" s="111"/>
      <c r="D806" s="1"/>
      <c r="E806" s="1"/>
      <c r="F806" s="1"/>
      <c r="G806" s="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 ht="12.75" customHeight="1">
      <c r="A807" s="111"/>
      <c r="B807" s="111"/>
      <c r="C807" s="111"/>
      <c r="D807" s="1"/>
      <c r="E807" s="1"/>
      <c r="F807" s="1"/>
      <c r="G807" s="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 ht="12.75" customHeight="1">
      <c r="A808" s="111"/>
      <c r="B808" s="111"/>
      <c r="C808" s="111"/>
      <c r="D808" s="1"/>
      <c r="E808" s="1"/>
      <c r="F808" s="1"/>
      <c r="G808" s="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 ht="12.75" customHeight="1">
      <c r="A809" s="111"/>
      <c r="B809" s="111"/>
      <c r="C809" s="111"/>
      <c r="D809" s="1"/>
      <c r="E809" s="1"/>
      <c r="F809" s="1"/>
      <c r="G809" s="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 ht="12.75" customHeight="1">
      <c r="A810" s="111"/>
      <c r="B810" s="111"/>
      <c r="C810" s="111"/>
      <c r="D810" s="1"/>
      <c r="E810" s="1"/>
      <c r="F810" s="1"/>
      <c r="G810" s="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 ht="12.75" customHeight="1">
      <c r="A811" s="111"/>
      <c r="B811" s="111"/>
      <c r="C811" s="111"/>
      <c r="D811" s="1"/>
      <c r="E811" s="1"/>
      <c r="F811" s="1"/>
      <c r="G811" s="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 ht="12.75" customHeight="1">
      <c r="A812" s="111"/>
      <c r="B812" s="111"/>
      <c r="C812" s="111"/>
      <c r="D812" s="1"/>
      <c r="E812" s="1"/>
      <c r="F812" s="1"/>
      <c r="G812" s="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 ht="12.75" customHeight="1">
      <c r="A813" s="111"/>
      <c r="B813" s="111"/>
      <c r="C813" s="111"/>
      <c r="D813" s="1"/>
      <c r="E813" s="1"/>
      <c r="F813" s="1"/>
      <c r="G813" s="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 ht="12.75" customHeight="1">
      <c r="A814" s="111"/>
      <c r="B814" s="111"/>
      <c r="C814" s="111"/>
      <c r="D814" s="1"/>
      <c r="E814" s="1"/>
      <c r="F814" s="1"/>
      <c r="G814" s="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 ht="12.75" customHeight="1">
      <c r="A815" s="111"/>
      <c r="B815" s="111"/>
      <c r="C815" s="111"/>
      <c r="D815" s="1"/>
      <c r="E815" s="1"/>
      <c r="F815" s="1"/>
      <c r="G815" s="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 ht="12.75" customHeight="1">
      <c r="A816" s="111"/>
      <c r="B816" s="111"/>
      <c r="C816" s="111"/>
      <c r="D816" s="1"/>
      <c r="E816" s="1"/>
      <c r="F816" s="1"/>
      <c r="G816" s="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 ht="12.75" customHeight="1">
      <c r="A817" s="111"/>
      <c r="B817" s="111"/>
      <c r="C817" s="111"/>
      <c r="D817" s="1"/>
      <c r="E817" s="1"/>
      <c r="F817" s="1"/>
      <c r="G817" s="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 ht="12.75" customHeight="1">
      <c r="A818" s="111"/>
      <c r="B818" s="111"/>
      <c r="C818" s="111"/>
      <c r="D818" s="1"/>
      <c r="E818" s="1"/>
      <c r="F818" s="1"/>
      <c r="G818" s="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 ht="12.75" customHeight="1">
      <c r="A819" s="111"/>
      <c r="B819" s="111"/>
      <c r="C819" s="111"/>
      <c r="D819" s="1"/>
      <c r="E819" s="1"/>
      <c r="F819" s="1"/>
      <c r="G819" s="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 ht="12.75" customHeight="1">
      <c r="A820" s="111"/>
      <c r="B820" s="111"/>
      <c r="C820" s="111"/>
      <c r="D820" s="1"/>
      <c r="E820" s="1"/>
      <c r="F820" s="1"/>
      <c r="G820" s="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 ht="12.75" customHeight="1">
      <c r="A821" s="111"/>
      <c r="B821" s="111"/>
      <c r="C821" s="111"/>
      <c r="D821" s="1"/>
      <c r="E821" s="1"/>
      <c r="F821" s="1"/>
      <c r="G821" s="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 ht="12.75" customHeight="1">
      <c r="A822" s="111"/>
      <c r="B822" s="111"/>
      <c r="C822" s="111"/>
      <c r="D822" s="1"/>
      <c r="E822" s="1"/>
      <c r="F822" s="1"/>
      <c r="G822" s="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 ht="12.75" customHeight="1">
      <c r="A823" s="111"/>
      <c r="B823" s="111"/>
      <c r="C823" s="111"/>
      <c r="D823" s="1"/>
      <c r="E823" s="1"/>
      <c r="F823" s="1"/>
      <c r="G823" s="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 ht="12.75" customHeight="1">
      <c r="A824" s="111"/>
      <c r="B824" s="111"/>
      <c r="C824" s="111"/>
      <c r="D824" s="1"/>
      <c r="E824" s="1"/>
      <c r="F824" s="1"/>
      <c r="G824" s="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 ht="12.75" customHeight="1">
      <c r="A825" s="111"/>
      <c r="B825" s="111"/>
      <c r="C825" s="111"/>
      <c r="D825" s="1"/>
      <c r="E825" s="1"/>
      <c r="F825" s="1"/>
      <c r="G825" s="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 ht="12.75" customHeight="1">
      <c r="A826" s="111"/>
      <c r="B826" s="111"/>
      <c r="C826" s="111"/>
      <c r="D826" s="1"/>
      <c r="E826" s="1"/>
      <c r="F826" s="1"/>
      <c r="G826" s="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 ht="12.75" customHeight="1">
      <c r="A827" s="111"/>
      <c r="B827" s="111"/>
      <c r="C827" s="111"/>
      <c r="D827" s="1"/>
      <c r="E827" s="1"/>
      <c r="F827" s="1"/>
      <c r="G827" s="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 ht="12.75" customHeight="1">
      <c r="A828" s="111"/>
      <c r="B828" s="111"/>
      <c r="C828" s="111"/>
      <c r="D828" s="1"/>
      <c r="E828" s="1"/>
      <c r="F828" s="1"/>
      <c r="G828" s="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 ht="12.75" customHeight="1">
      <c r="A829" s="111"/>
      <c r="B829" s="111"/>
      <c r="C829" s="111"/>
      <c r="D829" s="1"/>
      <c r="E829" s="1"/>
      <c r="F829" s="1"/>
      <c r="G829" s="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 ht="12.75" customHeight="1">
      <c r="A830" s="111"/>
      <c r="B830" s="111"/>
      <c r="C830" s="111"/>
      <c r="D830" s="1"/>
      <c r="E830" s="1"/>
      <c r="F830" s="1"/>
      <c r="G830" s="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 ht="12.75" customHeight="1">
      <c r="A831" s="111"/>
      <c r="B831" s="111"/>
      <c r="C831" s="111"/>
      <c r="D831" s="1"/>
      <c r="E831" s="1"/>
      <c r="F831" s="1"/>
      <c r="G831" s="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 ht="12.75" customHeight="1">
      <c r="A832" s="111"/>
      <c r="B832" s="111"/>
      <c r="C832" s="111"/>
      <c r="D832" s="1"/>
      <c r="E832" s="1"/>
      <c r="F832" s="1"/>
      <c r="G832" s="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 ht="12.75" customHeight="1">
      <c r="A833" s="111"/>
      <c r="B833" s="111"/>
      <c r="C833" s="111"/>
      <c r="D833" s="1"/>
      <c r="E833" s="1"/>
      <c r="F833" s="1"/>
      <c r="G833" s="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 ht="12.75" customHeight="1">
      <c r="A834" s="111"/>
      <c r="B834" s="111"/>
      <c r="C834" s="111"/>
      <c r="D834" s="1"/>
      <c r="E834" s="1"/>
      <c r="F834" s="1"/>
      <c r="G834" s="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 ht="12.75" customHeight="1">
      <c r="A835" s="111"/>
      <c r="B835" s="111"/>
      <c r="C835" s="111"/>
      <c r="D835" s="1"/>
      <c r="E835" s="1"/>
      <c r="F835" s="1"/>
      <c r="G835" s="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 ht="12.75" customHeight="1">
      <c r="A836" s="111"/>
      <c r="B836" s="111"/>
      <c r="C836" s="111"/>
      <c r="D836" s="1"/>
      <c r="E836" s="1"/>
      <c r="F836" s="1"/>
      <c r="G836" s="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 ht="12.75" customHeight="1">
      <c r="A837" s="111"/>
      <c r="B837" s="111"/>
      <c r="C837" s="111"/>
      <c r="D837" s="1"/>
      <c r="E837" s="1"/>
      <c r="F837" s="1"/>
      <c r="G837" s="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 ht="12.75" customHeight="1">
      <c r="A838" s="111"/>
      <c r="B838" s="111"/>
      <c r="C838" s="111"/>
      <c r="D838" s="1"/>
      <c r="E838" s="1"/>
      <c r="F838" s="1"/>
      <c r="G838" s="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 ht="12.75" customHeight="1">
      <c r="A839" s="111"/>
      <c r="B839" s="111"/>
      <c r="C839" s="111"/>
      <c r="D839" s="1"/>
      <c r="E839" s="1"/>
      <c r="F839" s="1"/>
      <c r="G839" s="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 ht="12.75" customHeight="1">
      <c r="A840" s="111"/>
      <c r="B840" s="111"/>
      <c r="C840" s="111"/>
      <c r="D840" s="1"/>
      <c r="E840" s="1"/>
      <c r="F840" s="1"/>
      <c r="G840" s="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 ht="12.75" customHeight="1">
      <c r="A841" s="111"/>
      <c r="B841" s="111"/>
      <c r="C841" s="111"/>
      <c r="D841" s="1"/>
      <c r="E841" s="1"/>
      <c r="F841" s="1"/>
      <c r="G841" s="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 ht="12.75" customHeight="1">
      <c r="A842" s="111"/>
      <c r="B842" s="111"/>
      <c r="C842" s="111"/>
      <c r="D842" s="1"/>
      <c r="E842" s="1"/>
      <c r="F842" s="1"/>
      <c r="G842" s="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 ht="12.75" customHeight="1">
      <c r="A843" s="111"/>
      <c r="B843" s="111"/>
      <c r="C843" s="111"/>
      <c r="D843" s="1"/>
      <c r="E843" s="1"/>
      <c r="F843" s="1"/>
      <c r="G843" s="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 ht="12.75" customHeight="1">
      <c r="A844" s="111"/>
      <c r="B844" s="111"/>
      <c r="C844" s="111"/>
      <c r="D844" s="1"/>
      <c r="E844" s="1"/>
      <c r="F844" s="1"/>
      <c r="G844" s="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 ht="12.75" customHeight="1">
      <c r="A845" s="111"/>
      <c r="B845" s="111"/>
      <c r="C845" s="111"/>
      <c r="D845" s="1"/>
      <c r="E845" s="1"/>
      <c r="F845" s="1"/>
      <c r="G845" s="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 ht="12.75" customHeight="1">
      <c r="A846" s="111"/>
      <c r="B846" s="111"/>
      <c r="C846" s="111"/>
      <c r="D846" s="1"/>
      <c r="E846" s="1"/>
      <c r="F846" s="1"/>
      <c r="G846" s="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 ht="12.75" customHeight="1">
      <c r="A847" s="111"/>
      <c r="B847" s="111"/>
      <c r="C847" s="111"/>
      <c r="D847" s="1"/>
      <c r="E847" s="1"/>
      <c r="F847" s="1"/>
      <c r="G847" s="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 ht="12.75" customHeight="1">
      <c r="A848" s="111"/>
      <c r="B848" s="111"/>
      <c r="C848" s="111"/>
      <c r="D848" s="1"/>
      <c r="E848" s="1"/>
      <c r="F848" s="1"/>
      <c r="G848" s="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 ht="12.75" customHeight="1">
      <c r="A849" s="111"/>
      <c r="B849" s="111"/>
      <c r="C849" s="111"/>
      <c r="D849" s="1"/>
      <c r="E849" s="1"/>
      <c r="F849" s="1"/>
      <c r="G849" s="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 ht="12.75" customHeight="1">
      <c r="A850" s="111"/>
      <c r="B850" s="111"/>
      <c r="C850" s="111"/>
      <c r="D850" s="1"/>
      <c r="E850" s="1"/>
      <c r="F850" s="1"/>
      <c r="G850" s="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 ht="12.75" customHeight="1">
      <c r="A851" s="111"/>
      <c r="B851" s="111"/>
      <c r="C851" s="111"/>
      <c r="D851" s="1"/>
      <c r="E851" s="1"/>
      <c r="F851" s="1"/>
      <c r="G851" s="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 ht="12.75" customHeight="1">
      <c r="A852" s="111"/>
      <c r="B852" s="111"/>
      <c r="C852" s="111"/>
      <c r="D852" s="1"/>
      <c r="E852" s="1"/>
      <c r="F852" s="1"/>
      <c r="G852" s="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 ht="12.75" customHeight="1">
      <c r="A853" s="111"/>
      <c r="B853" s="111"/>
      <c r="C853" s="111"/>
      <c r="D853" s="1"/>
      <c r="E853" s="1"/>
      <c r="F853" s="1"/>
      <c r="G853" s="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 ht="12.75" customHeight="1">
      <c r="A854" s="111"/>
      <c r="B854" s="111"/>
      <c r="C854" s="111"/>
      <c r="D854" s="1"/>
      <c r="E854" s="1"/>
      <c r="F854" s="1"/>
      <c r="G854" s="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 ht="12.75" customHeight="1">
      <c r="A855" s="111"/>
      <c r="B855" s="111"/>
      <c r="C855" s="111"/>
      <c r="D855" s="1"/>
      <c r="E855" s="1"/>
      <c r="F855" s="1"/>
      <c r="G855" s="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 ht="12.75" customHeight="1">
      <c r="A856" s="111"/>
      <c r="B856" s="111"/>
      <c r="C856" s="111"/>
      <c r="D856" s="1"/>
      <c r="E856" s="1"/>
      <c r="F856" s="1"/>
      <c r="G856" s="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 ht="12.75" customHeight="1">
      <c r="A857" s="111"/>
      <c r="B857" s="111"/>
      <c r="C857" s="111"/>
      <c r="D857" s="1"/>
      <c r="E857" s="1"/>
      <c r="F857" s="1"/>
      <c r="G857" s="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 ht="12.75" customHeight="1">
      <c r="A858" s="111"/>
      <c r="B858" s="111"/>
      <c r="C858" s="111"/>
      <c r="D858" s="1"/>
      <c r="E858" s="1"/>
      <c r="F858" s="1"/>
      <c r="G858" s="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 ht="12.75" customHeight="1">
      <c r="A859" s="111"/>
      <c r="B859" s="111"/>
      <c r="C859" s="111"/>
      <c r="D859" s="1"/>
      <c r="E859" s="1"/>
      <c r="F859" s="1"/>
      <c r="G859" s="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 ht="12.75" customHeight="1">
      <c r="A860" s="111"/>
      <c r="B860" s="111"/>
      <c r="C860" s="111"/>
      <c r="D860" s="1"/>
      <c r="E860" s="1"/>
      <c r="F860" s="1"/>
      <c r="G860" s="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 ht="12.75" customHeight="1">
      <c r="A861" s="111"/>
      <c r="B861" s="111"/>
      <c r="C861" s="111"/>
      <c r="D861" s="1"/>
      <c r="E861" s="1"/>
      <c r="F861" s="1"/>
      <c r="G861" s="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 ht="12.75" customHeight="1">
      <c r="A862" s="111"/>
      <c r="B862" s="111"/>
      <c r="C862" s="111"/>
      <c r="D862" s="1"/>
      <c r="E862" s="1"/>
      <c r="F862" s="1"/>
      <c r="G862" s="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 ht="12.75" customHeight="1">
      <c r="A863" s="111"/>
      <c r="B863" s="111"/>
      <c r="C863" s="111"/>
      <c r="D863" s="1"/>
      <c r="E863" s="1"/>
      <c r="F863" s="1"/>
      <c r="G863" s="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 ht="12.75" customHeight="1">
      <c r="A864" s="111"/>
      <c r="B864" s="111"/>
      <c r="C864" s="111"/>
      <c r="D864" s="1"/>
      <c r="E864" s="1"/>
      <c r="F864" s="1"/>
      <c r="G864" s="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 ht="12.75" customHeight="1">
      <c r="A865" s="111"/>
      <c r="B865" s="111"/>
      <c r="C865" s="111"/>
      <c r="D865" s="1"/>
      <c r="E865" s="1"/>
      <c r="F865" s="1"/>
      <c r="G865" s="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 ht="12.75" customHeight="1">
      <c r="A866" s="111"/>
      <c r="B866" s="111"/>
      <c r="C866" s="111"/>
      <c r="D866" s="1"/>
      <c r="E866" s="1"/>
      <c r="F866" s="1"/>
      <c r="G866" s="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 ht="12.75" customHeight="1">
      <c r="A867" s="111"/>
      <c r="B867" s="111"/>
      <c r="C867" s="111"/>
      <c r="D867" s="1"/>
      <c r="E867" s="1"/>
      <c r="F867" s="1"/>
      <c r="G867" s="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 ht="12.75" customHeight="1">
      <c r="A868" s="111"/>
      <c r="B868" s="111"/>
      <c r="C868" s="111"/>
      <c r="D868" s="1"/>
      <c r="E868" s="1"/>
      <c r="F868" s="1"/>
      <c r="G868" s="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 ht="12.75" customHeight="1">
      <c r="A869" s="111"/>
      <c r="B869" s="111"/>
      <c r="C869" s="111"/>
      <c r="D869" s="1"/>
      <c r="E869" s="1"/>
      <c r="F869" s="1"/>
      <c r="G869" s="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 ht="12.75" customHeight="1">
      <c r="A870" s="111"/>
      <c r="B870" s="111"/>
      <c r="C870" s="111"/>
      <c r="D870" s="1"/>
      <c r="E870" s="1"/>
      <c r="F870" s="1"/>
      <c r="G870" s="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 ht="12.75" customHeight="1">
      <c r="A871" s="111"/>
      <c r="B871" s="111"/>
      <c r="C871" s="111"/>
      <c r="D871" s="1"/>
      <c r="E871" s="1"/>
      <c r="F871" s="1"/>
      <c r="G871" s="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 ht="12.75" customHeight="1">
      <c r="A872" s="111"/>
      <c r="B872" s="111"/>
      <c r="C872" s="111"/>
      <c r="D872" s="1"/>
      <c r="E872" s="1"/>
      <c r="F872" s="1"/>
      <c r="G872" s="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 ht="12.75" customHeight="1">
      <c r="A873" s="111"/>
      <c r="B873" s="111"/>
      <c r="C873" s="111"/>
      <c r="D873" s="1"/>
      <c r="E873" s="1"/>
      <c r="F873" s="1"/>
      <c r="G873" s="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 ht="12.75" customHeight="1">
      <c r="A874" s="111"/>
      <c r="B874" s="111"/>
      <c r="C874" s="111"/>
      <c r="D874" s="1"/>
      <c r="E874" s="1"/>
      <c r="F874" s="1"/>
      <c r="G874" s="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 ht="12.75" customHeight="1">
      <c r="A875" s="111"/>
      <c r="B875" s="111"/>
      <c r="C875" s="111"/>
      <c r="D875" s="1"/>
      <c r="E875" s="1"/>
      <c r="F875" s="1"/>
      <c r="G875" s="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 ht="12.75" customHeight="1">
      <c r="A876" s="111"/>
      <c r="B876" s="111"/>
      <c r="C876" s="111"/>
      <c r="D876" s="1"/>
      <c r="E876" s="1"/>
      <c r="F876" s="1"/>
      <c r="G876" s="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 ht="12.75" customHeight="1">
      <c r="A877" s="111"/>
      <c r="B877" s="111"/>
      <c r="C877" s="111"/>
      <c r="D877" s="1"/>
      <c r="E877" s="1"/>
      <c r="F877" s="1"/>
      <c r="G877" s="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 ht="12.75" customHeight="1">
      <c r="A878" s="111"/>
      <c r="B878" s="111"/>
      <c r="C878" s="111"/>
      <c r="D878" s="1"/>
      <c r="E878" s="1"/>
      <c r="F878" s="1"/>
      <c r="G878" s="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 ht="12.75" customHeight="1">
      <c r="A879" s="111"/>
      <c r="B879" s="111"/>
      <c r="C879" s="111"/>
      <c r="D879" s="1"/>
      <c r="E879" s="1"/>
      <c r="F879" s="1"/>
      <c r="G879" s="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 ht="12.75" customHeight="1">
      <c r="A880" s="111"/>
      <c r="B880" s="111"/>
      <c r="C880" s="111"/>
      <c r="D880" s="1"/>
      <c r="E880" s="1"/>
      <c r="F880" s="1"/>
      <c r="G880" s="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 ht="12.75" customHeight="1">
      <c r="A881" s="111"/>
      <c r="B881" s="111"/>
      <c r="C881" s="111"/>
      <c r="D881" s="1"/>
      <c r="E881" s="1"/>
      <c r="F881" s="1"/>
      <c r="G881" s="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 ht="12.75" customHeight="1">
      <c r="A882" s="111"/>
      <c r="B882" s="111"/>
      <c r="C882" s="111"/>
      <c r="D882" s="1"/>
      <c r="E882" s="1"/>
      <c r="F882" s="1"/>
      <c r="G882" s="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 ht="12.75" customHeight="1">
      <c r="A883" s="111"/>
      <c r="B883" s="111"/>
      <c r="C883" s="111"/>
      <c r="D883" s="1"/>
      <c r="E883" s="1"/>
      <c r="F883" s="1"/>
      <c r="G883" s="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 ht="12.75" customHeight="1">
      <c r="A884" s="111"/>
      <c r="B884" s="111"/>
      <c r="C884" s="111"/>
      <c r="D884" s="1"/>
      <c r="E884" s="1"/>
      <c r="F884" s="1"/>
      <c r="G884" s="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 ht="12.75" customHeight="1">
      <c r="A885" s="111"/>
      <c r="B885" s="111"/>
      <c r="C885" s="111"/>
      <c r="D885" s="1"/>
      <c r="E885" s="1"/>
      <c r="F885" s="1"/>
      <c r="G885" s="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 ht="12.75" customHeight="1">
      <c r="A886" s="111"/>
      <c r="B886" s="111"/>
      <c r="C886" s="111"/>
      <c r="D886" s="1"/>
      <c r="E886" s="1"/>
      <c r="F886" s="1"/>
      <c r="G886" s="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 ht="12.75" customHeight="1">
      <c r="A887" s="111"/>
      <c r="B887" s="111"/>
      <c r="C887" s="111"/>
      <c r="D887" s="1"/>
      <c r="E887" s="1"/>
      <c r="F887" s="1"/>
      <c r="G887" s="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 ht="12.75" customHeight="1">
      <c r="A888" s="111"/>
      <c r="B888" s="111"/>
      <c r="C888" s="111"/>
      <c r="D888" s="1"/>
      <c r="E888" s="1"/>
      <c r="F888" s="1"/>
      <c r="G888" s="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 ht="12.75" customHeight="1">
      <c r="A889" s="111"/>
      <c r="B889" s="111"/>
      <c r="C889" s="111"/>
      <c r="D889" s="1"/>
      <c r="E889" s="1"/>
      <c r="F889" s="1"/>
      <c r="G889" s="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 ht="12.75" customHeight="1">
      <c r="A890" s="111"/>
      <c r="B890" s="111"/>
      <c r="C890" s="111"/>
      <c r="D890" s="1"/>
      <c r="E890" s="1"/>
      <c r="F890" s="1"/>
      <c r="G890" s="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 ht="12.75" customHeight="1">
      <c r="A891" s="111"/>
      <c r="B891" s="111"/>
      <c r="C891" s="111"/>
      <c r="D891" s="1"/>
      <c r="E891" s="1"/>
      <c r="F891" s="1"/>
      <c r="G891" s="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 ht="12.75" customHeight="1">
      <c r="A892" s="111"/>
      <c r="B892" s="111"/>
      <c r="C892" s="111"/>
      <c r="D892" s="1"/>
      <c r="E892" s="1"/>
      <c r="F892" s="1"/>
      <c r="G892" s="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 ht="12.75" customHeight="1">
      <c r="A893" s="111"/>
      <c r="B893" s="111"/>
      <c r="C893" s="111"/>
      <c r="D893" s="1"/>
      <c r="E893" s="1"/>
      <c r="F893" s="1"/>
      <c r="G893" s="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 ht="12.75" customHeight="1">
      <c r="A894" s="111"/>
      <c r="B894" s="111"/>
      <c r="C894" s="111"/>
      <c r="D894" s="1"/>
      <c r="E894" s="1"/>
      <c r="F894" s="1"/>
      <c r="G894" s="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 ht="12.75" customHeight="1">
      <c r="A895" s="111"/>
      <c r="B895" s="111"/>
      <c r="C895" s="111"/>
      <c r="D895" s="1"/>
      <c r="E895" s="1"/>
      <c r="F895" s="1"/>
      <c r="G895" s="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 ht="12.75" customHeight="1">
      <c r="A896" s="111"/>
      <c r="B896" s="111"/>
      <c r="C896" s="111"/>
      <c r="D896" s="1"/>
      <c r="E896" s="1"/>
      <c r="F896" s="1"/>
      <c r="G896" s="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 ht="12.75" customHeight="1">
      <c r="A897" s="111"/>
      <c r="B897" s="111"/>
      <c r="C897" s="111"/>
      <c r="D897" s="1"/>
      <c r="E897" s="1"/>
      <c r="F897" s="1"/>
      <c r="G897" s="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 ht="12.75" customHeight="1">
      <c r="A898" s="111"/>
      <c r="B898" s="111"/>
      <c r="C898" s="111"/>
      <c r="D898" s="1"/>
      <c r="E898" s="1"/>
      <c r="F898" s="1"/>
      <c r="G898" s="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 ht="12.75" customHeight="1">
      <c r="A899" s="111"/>
      <c r="B899" s="111"/>
      <c r="C899" s="111"/>
      <c r="D899" s="1"/>
      <c r="E899" s="1"/>
      <c r="F899" s="1"/>
      <c r="G899" s="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 ht="12.75" customHeight="1">
      <c r="A900" s="111"/>
      <c r="B900" s="111"/>
      <c r="C900" s="111"/>
      <c r="D900" s="1"/>
      <c r="E900" s="1"/>
      <c r="F900" s="1"/>
      <c r="G900" s="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 ht="12.75" customHeight="1">
      <c r="A901" s="111"/>
      <c r="B901" s="111"/>
      <c r="C901" s="111"/>
      <c r="D901" s="1"/>
      <c r="E901" s="1"/>
      <c r="F901" s="1"/>
      <c r="G901" s="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 ht="12.75" customHeight="1">
      <c r="A902" s="111"/>
      <c r="B902" s="111"/>
      <c r="C902" s="111"/>
      <c r="D902" s="1"/>
      <c r="E902" s="1"/>
      <c r="F902" s="1"/>
      <c r="G902" s="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 ht="12.75" customHeight="1">
      <c r="A903" s="111"/>
      <c r="B903" s="111"/>
      <c r="C903" s="111"/>
      <c r="D903" s="1"/>
      <c r="E903" s="1"/>
      <c r="F903" s="1"/>
      <c r="G903" s="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 ht="12.75" customHeight="1">
      <c r="A904" s="111"/>
      <c r="B904" s="111"/>
      <c r="C904" s="111"/>
      <c r="D904" s="1"/>
      <c r="E904" s="1"/>
      <c r="F904" s="1"/>
      <c r="G904" s="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 ht="12.75" customHeight="1">
      <c r="A905" s="111"/>
      <c r="B905" s="111"/>
      <c r="C905" s="111"/>
      <c r="D905" s="1"/>
      <c r="E905" s="1"/>
      <c r="F905" s="1"/>
      <c r="G905" s="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 ht="12.75" customHeight="1">
      <c r="A906" s="111"/>
      <c r="B906" s="111"/>
      <c r="C906" s="111"/>
      <c r="D906" s="1"/>
      <c r="E906" s="1"/>
      <c r="F906" s="1"/>
      <c r="G906" s="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 ht="12.75" customHeight="1">
      <c r="A907" s="111"/>
      <c r="B907" s="111"/>
      <c r="C907" s="111"/>
      <c r="D907" s="1"/>
      <c r="E907" s="1"/>
      <c r="F907" s="1"/>
      <c r="G907" s="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 ht="12.75" customHeight="1">
      <c r="A908" s="111"/>
      <c r="B908" s="111"/>
      <c r="C908" s="111"/>
      <c r="D908" s="1"/>
      <c r="E908" s="1"/>
      <c r="F908" s="1"/>
      <c r="G908" s="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 ht="12.75" customHeight="1">
      <c r="A909" s="111"/>
      <c r="B909" s="111"/>
      <c r="C909" s="111"/>
      <c r="D909" s="1"/>
      <c r="E909" s="1"/>
      <c r="F909" s="1"/>
      <c r="G909" s="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 ht="12.75" customHeight="1">
      <c r="A910" s="111"/>
      <c r="B910" s="111"/>
      <c r="C910" s="111"/>
      <c r="D910" s="1"/>
      <c r="E910" s="1"/>
      <c r="F910" s="1"/>
      <c r="G910" s="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 ht="12.75" customHeight="1">
      <c r="A911" s="111"/>
      <c r="B911" s="111"/>
      <c r="C911" s="111"/>
      <c r="D911" s="1"/>
      <c r="E911" s="1"/>
      <c r="F911" s="1"/>
      <c r="G911" s="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 ht="12.75" customHeight="1">
      <c r="A912" s="111"/>
      <c r="B912" s="111"/>
      <c r="C912" s="111"/>
      <c r="D912" s="1"/>
      <c r="E912" s="1"/>
      <c r="F912" s="1"/>
      <c r="G912" s="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 ht="12.75" customHeight="1">
      <c r="A913" s="111"/>
      <c r="B913" s="111"/>
      <c r="C913" s="111"/>
      <c r="D913" s="1"/>
      <c r="E913" s="1"/>
      <c r="F913" s="1"/>
      <c r="G913" s="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 ht="12.75" customHeight="1">
      <c r="A914" s="111"/>
      <c r="B914" s="111"/>
      <c r="C914" s="111"/>
      <c r="D914" s="1"/>
      <c r="E914" s="1"/>
      <c r="F914" s="1"/>
      <c r="G914" s="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 ht="12.75" customHeight="1">
      <c r="A915" s="111"/>
      <c r="B915" s="111"/>
      <c r="C915" s="111"/>
      <c r="D915" s="1"/>
      <c r="E915" s="1"/>
      <c r="F915" s="1"/>
      <c r="G915" s="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 ht="12.75" customHeight="1">
      <c r="A916" s="111"/>
      <c r="B916" s="111"/>
      <c r="C916" s="111"/>
      <c r="D916" s="1"/>
      <c r="E916" s="1"/>
      <c r="F916" s="1"/>
      <c r="G916" s="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 ht="12.75" customHeight="1">
      <c r="A917" s="111"/>
      <c r="B917" s="111"/>
      <c r="C917" s="111"/>
      <c r="D917" s="1"/>
      <c r="E917" s="1"/>
      <c r="F917" s="1"/>
      <c r="G917" s="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 ht="12.75" customHeight="1">
      <c r="A918" s="111"/>
      <c r="B918" s="111"/>
      <c r="C918" s="111"/>
      <c r="D918" s="1"/>
      <c r="E918" s="1"/>
      <c r="F918" s="1"/>
      <c r="G918" s="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 ht="12.75" customHeight="1">
      <c r="A919" s="111"/>
      <c r="B919" s="111"/>
      <c r="C919" s="111"/>
      <c r="D919" s="1"/>
      <c r="E919" s="1"/>
      <c r="F919" s="1"/>
      <c r="G919" s="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 ht="12.75" customHeight="1">
      <c r="A920" s="111"/>
      <c r="B920" s="111"/>
      <c r="C920" s="111"/>
      <c r="D920" s="1"/>
      <c r="E920" s="1"/>
      <c r="F920" s="1"/>
      <c r="G920" s="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 ht="12.75" customHeight="1">
      <c r="A921" s="111"/>
      <c r="B921" s="111"/>
      <c r="C921" s="111"/>
      <c r="D921" s="1"/>
      <c r="E921" s="1"/>
      <c r="F921" s="1"/>
      <c r="G921" s="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 ht="12.75" customHeight="1">
      <c r="A922" s="111"/>
      <c r="B922" s="111"/>
      <c r="C922" s="111"/>
      <c r="D922" s="1"/>
      <c r="E922" s="1"/>
      <c r="F922" s="1"/>
      <c r="G922" s="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 ht="12.75" customHeight="1">
      <c r="A923" s="111"/>
      <c r="B923" s="111"/>
      <c r="C923" s="111"/>
      <c r="D923" s="1"/>
      <c r="E923" s="1"/>
      <c r="F923" s="1"/>
      <c r="G923" s="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 ht="12.75" customHeight="1">
      <c r="A924" s="111"/>
      <c r="B924" s="111"/>
      <c r="C924" s="111"/>
      <c r="D924" s="1"/>
      <c r="E924" s="1"/>
      <c r="F924" s="1"/>
      <c r="G924" s="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 ht="12.75" customHeight="1">
      <c r="A925" s="111"/>
      <c r="B925" s="111"/>
      <c r="C925" s="111"/>
      <c r="D925" s="1"/>
      <c r="E925" s="1"/>
      <c r="F925" s="1"/>
      <c r="G925" s="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 ht="12.75" customHeight="1">
      <c r="A926" s="111"/>
      <c r="B926" s="111"/>
      <c r="C926" s="111"/>
      <c r="D926" s="1"/>
      <c r="E926" s="1"/>
      <c r="F926" s="1"/>
      <c r="G926" s="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 ht="12.75" customHeight="1">
      <c r="A927" s="111"/>
      <c r="B927" s="111"/>
      <c r="C927" s="111"/>
      <c r="D927" s="1"/>
      <c r="E927" s="1"/>
      <c r="F927" s="1"/>
      <c r="G927" s="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 ht="12.75" customHeight="1">
      <c r="A928" s="111"/>
      <c r="B928" s="111"/>
      <c r="C928" s="111"/>
      <c r="D928" s="1"/>
      <c r="E928" s="1"/>
      <c r="F928" s="1"/>
      <c r="G928" s="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 ht="12.75" customHeight="1">
      <c r="A929" s="111"/>
      <c r="B929" s="111"/>
      <c r="C929" s="111"/>
      <c r="D929" s="1"/>
      <c r="E929" s="1"/>
      <c r="F929" s="1"/>
      <c r="G929" s="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 ht="12.75" customHeight="1">
      <c r="A930" s="111"/>
      <c r="B930" s="111"/>
      <c r="C930" s="111"/>
      <c r="D930" s="1"/>
      <c r="E930" s="1"/>
      <c r="F930" s="1"/>
      <c r="G930" s="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 ht="12.75" customHeight="1">
      <c r="A931" s="111"/>
      <c r="B931" s="111"/>
      <c r="C931" s="111"/>
      <c r="D931" s="1"/>
      <c r="E931" s="1"/>
      <c r="F931" s="1"/>
      <c r="G931" s="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 ht="12.75" customHeight="1">
      <c r="A932" s="111"/>
      <c r="B932" s="111"/>
      <c r="C932" s="111"/>
      <c r="D932" s="1"/>
      <c r="E932" s="1"/>
      <c r="F932" s="1"/>
      <c r="G932" s="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 ht="12.75" customHeight="1">
      <c r="A933" s="111"/>
      <c r="B933" s="111"/>
      <c r="C933" s="111"/>
      <c r="D933" s="1"/>
      <c r="E933" s="1"/>
      <c r="F933" s="1"/>
      <c r="G933" s="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 ht="12.75" customHeight="1">
      <c r="A934" s="111"/>
      <c r="B934" s="111"/>
      <c r="C934" s="111"/>
      <c r="D934" s="1"/>
      <c r="E934" s="1"/>
      <c r="F934" s="1"/>
      <c r="G934" s="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 ht="12.75" customHeight="1">
      <c r="A935" s="111"/>
      <c r="B935" s="111"/>
      <c r="C935" s="111"/>
      <c r="D935" s="1"/>
      <c r="E935" s="1"/>
      <c r="F935" s="1"/>
      <c r="G935" s="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 ht="12.75" customHeight="1">
      <c r="A936" s="111"/>
      <c r="B936" s="111"/>
      <c r="C936" s="111"/>
      <c r="D936" s="1"/>
      <c r="E936" s="1"/>
      <c r="F936" s="1"/>
      <c r="G936" s="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 ht="12.75" customHeight="1">
      <c r="A937" s="111"/>
      <c r="B937" s="111"/>
      <c r="C937" s="111"/>
      <c r="D937" s="1"/>
      <c r="E937" s="1"/>
      <c r="F937" s="1"/>
      <c r="G937" s="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 ht="12.75" customHeight="1">
      <c r="A938" s="111"/>
      <c r="B938" s="111"/>
      <c r="C938" s="111"/>
      <c r="D938" s="1"/>
      <c r="E938" s="1"/>
      <c r="F938" s="1"/>
      <c r="G938" s="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 ht="12.75" customHeight="1">
      <c r="A939" s="111"/>
      <c r="B939" s="111"/>
      <c r="C939" s="111"/>
      <c r="D939" s="1"/>
      <c r="E939" s="1"/>
      <c r="F939" s="1"/>
      <c r="G939" s="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 ht="12.75" customHeight="1">
      <c r="A940" s="111"/>
      <c r="B940" s="111"/>
      <c r="C940" s="111"/>
      <c r="D940" s="1"/>
      <c r="E940" s="1"/>
      <c r="F940" s="1"/>
      <c r="G940" s="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 ht="12.75" customHeight="1">
      <c r="A941" s="111"/>
      <c r="B941" s="111"/>
      <c r="C941" s="111"/>
      <c r="D941" s="1"/>
      <c r="E941" s="1"/>
      <c r="F941" s="1"/>
      <c r="G941" s="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 ht="12.75" customHeight="1">
      <c r="A942" s="111"/>
      <c r="B942" s="111"/>
      <c r="C942" s="111"/>
      <c r="D942" s="1"/>
      <c r="E942" s="1"/>
      <c r="F942" s="1"/>
      <c r="G942" s="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 ht="12.75" customHeight="1">
      <c r="A943" s="111"/>
      <c r="B943" s="111"/>
      <c r="C943" s="111"/>
      <c r="D943" s="1"/>
      <c r="E943" s="1"/>
      <c r="F943" s="1"/>
      <c r="G943" s="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 ht="12.75" customHeight="1">
      <c r="A944" s="111"/>
      <c r="B944" s="111"/>
      <c r="C944" s="111"/>
      <c r="D944" s="1"/>
      <c r="E944" s="1"/>
      <c r="F944" s="1"/>
      <c r="G944" s="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 ht="12.75" customHeight="1">
      <c r="A945" s="111"/>
      <c r="B945" s="111"/>
      <c r="C945" s="111"/>
      <c r="D945" s="1"/>
      <c r="E945" s="1"/>
      <c r="F945" s="1"/>
      <c r="G945" s="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 ht="12.75" customHeight="1">
      <c r="A946" s="111"/>
      <c r="B946" s="111"/>
      <c r="C946" s="111"/>
      <c r="D946" s="1"/>
      <c r="E946" s="1"/>
      <c r="F946" s="1"/>
      <c r="G946" s="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 ht="12.75" customHeight="1">
      <c r="A947" s="111"/>
      <c r="B947" s="111"/>
      <c r="C947" s="111"/>
      <c r="D947" s="1"/>
      <c r="E947" s="1"/>
      <c r="F947" s="1"/>
      <c r="G947" s="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 ht="12.75" customHeight="1">
      <c r="A948" s="111"/>
      <c r="B948" s="111"/>
      <c r="C948" s="111"/>
      <c r="D948" s="1"/>
      <c r="E948" s="1"/>
      <c r="F948" s="1"/>
      <c r="G948" s="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 ht="12.75" customHeight="1">
      <c r="A949" s="111"/>
      <c r="B949" s="111"/>
      <c r="C949" s="111"/>
      <c r="D949" s="1"/>
      <c r="E949" s="1"/>
      <c r="F949" s="1"/>
      <c r="G949" s="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 ht="12.75" customHeight="1">
      <c r="A950" s="111"/>
      <c r="B950" s="111"/>
      <c r="C950" s="111"/>
      <c r="D950" s="1"/>
      <c r="E950" s="1"/>
      <c r="F950" s="1"/>
      <c r="G950" s="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 ht="12.75" customHeight="1">
      <c r="A951" s="111"/>
      <c r="B951" s="111"/>
      <c r="C951" s="111"/>
      <c r="D951" s="1"/>
      <c r="E951" s="1"/>
      <c r="F951" s="1"/>
      <c r="G951" s="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 ht="12.75" customHeight="1">
      <c r="A952" s="111"/>
      <c r="B952" s="111"/>
      <c r="C952" s="111"/>
      <c r="D952" s="1"/>
      <c r="E952" s="1"/>
      <c r="F952" s="1"/>
      <c r="G952" s="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 ht="12.75" customHeight="1">
      <c r="A953" s="111"/>
      <c r="B953" s="111"/>
      <c r="C953" s="111"/>
      <c r="D953" s="1"/>
      <c r="E953" s="1"/>
      <c r="F953" s="1"/>
      <c r="G953" s="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 ht="12.75" customHeight="1">
      <c r="A954" s="111"/>
      <c r="B954" s="111"/>
      <c r="C954" s="111"/>
      <c r="D954" s="1"/>
      <c r="E954" s="1"/>
      <c r="F954" s="1"/>
      <c r="G954" s="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 ht="12.75" customHeight="1">
      <c r="A955" s="111"/>
      <c r="B955" s="111"/>
      <c r="C955" s="111"/>
      <c r="D955" s="1"/>
      <c r="E955" s="1"/>
      <c r="F955" s="1"/>
      <c r="G955" s="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 ht="12.75" customHeight="1">
      <c r="A956" s="111"/>
      <c r="B956" s="111"/>
      <c r="C956" s="111"/>
      <c r="D956" s="1"/>
      <c r="E956" s="1"/>
      <c r="F956" s="1"/>
      <c r="G956" s="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 ht="12.75" customHeight="1">
      <c r="A957" s="111"/>
      <c r="B957" s="111"/>
      <c r="C957" s="111"/>
      <c r="D957" s="1"/>
      <c r="E957" s="1"/>
      <c r="F957" s="1"/>
      <c r="G957" s="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 ht="12.75" customHeight="1">
      <c r="A958" s="111"/>
      <c r="B958" s="111"/>
      <c r="C958" s="111"/>
      <c r="D958" s="1"/>
      <c r="E958" s="1"/>
      <c r="F958" s="1"/>
      <c r="G958" s="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 ht="12.75" customHeight="1">
      <c r="A959" s="111"/>
      <c r="B959" s="111"/>
      <c r="C959" s="111"/>
      <c r="D959" s="1"/>
      <c r="E959" s="1"/>
      <c r="F959" s="1"/>
      <c r="G959" s="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 ht="12.75" customHeight="1">
      <c r="A960" s="111"/>
      <c r="B960" s="111"/>
      <c r="C960" s="111"/>
      <c r="D960" s="1"/>
      <c r="E960" s="1"/>
      <c r="F960" s="1"/>
      <c r="G960" s="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 ht="12.75" customHeight="1">
      <c r="A961" s="111"/>
      <c r="B961" s="111"/>
      <c r="C961" s="111"/>
      <c r="D961" s="1"/>
      <c r="E961" s="1"/>
      <c r="F961" s="1"/>
      <c r="G961" s="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 ht="12.75" customHeight="1">
      <c r="A962" s="111"/>
      <c r="B962" s="111"/>
      <c r="C962" s="111"/>
      <c r="D962" s="1"/>
      <c r="E962" s="1"/>
      <c r="F962" s="1"/>
      <c r="G962" s="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 ht="12.75" customHeight="1">
      <c r="A963" s="111"/>
      <c r="B963" s="111"/>
      <c r="C963" s="111"/>
      <c r="D963" s="1"/>
      <c r="E963" s="1"/>
      <c r="F963" s="1"/>
      <c r="G963" s="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 ht="12.75" customHeight="1">
      <c r="A964" s="111"/>
      <c r="B964" s="111"/>
      <c r="C964" s="111"/>
      <c r="D964" s="1"/>
      <c r="E964" s="1"/>
      <c r="F964" s="1"/>
      <c r="G964" s="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 ht="12.75" customHeight="1">
      <c r="A965" s="111"/>
      <c r="B965" s="111"/>
      <c r="C965" s="111"/>
      <c r="D965" s="1"/>
      <c r="E965" s="1"/>
      <c r="F965" s="1"/>
      <c r="G965" s="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 ht="12.75" customHeight="1">
      <c r="A966" s="111"/>
      <c r="B966" s="111"/>
      <c r="C966" s="111"/>
      <c r="D966" s="1"/>
      <c r="E966" s="1"/>
      <c r="F966" s="1"/>
      <c r="G966" s="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 ht="12.75" customHeight="1">
      <c r="A967" s="111"/>
      <c r="B967" s="111"/>
      <c r="C967" s="111"/>
      <c r="D967" s="1"/>
      <c r="E967" s="1"/>
      <c r="F967" s="1"/>
      <c r="G967" s="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 ht="12.75" customHeight="1">
      <c r="A968" s="111"/>
      <c r="B968" s="111"/>
      <c r="C968" s="111"/>
      <c r="D968" s="1"/>
      <c r="E968" s="1"/>
      <c r="F968" s="1"/>
      <c r="G968" s="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 ht="12.75" customHeight="1">
      <c r="A969" s="111"/>
      <c r="B969" s="111"/>
      <c r="C969" s="111"/>
      <c r="D969" s="1"/>
      <c r="E969" s="1"/>
      <c r="F969" s="1"/>
      <c r="G969" s="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 ht="12.75" customHeight="1">
      <c r="A970" s="111"/>
      <c r="B970" s="111"/>
      <c r="C970" s="111"/>
      <c r="D970" s="1"/>
      <c r="E970" s="1"/>
      <c r="F970" s="1"/>
      <c r="G970" s="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 ht="12.75" customHeight="1">
      <c r="A971" s="111"/>
      <c r="B971" s="111"/>
      <c r="C971" s="111"/>
      <c r="D971" s="1"/>
      <c r="E971" s="1"/>
      <c r="F971" s="1"/>
      <c r="G971" s="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 ht="12.75" customHeight="1">
      <c r="A972" s="111"/>
      <c r="B972" s="111"/>
      <c r="C972" s="111"/>
      <c r="D972" s="1"/>
      <c r="E972" s="1"/>
      <c r="F972" s="1"/>
      <c r="G972" s="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 ht="12.75" customHeight="1">
      <c r="A973" s="111"/>
      <c r="B973" s="111"/>
      <c r="C973" s="111"/>
      <c r="D973" s="1"/>
      <c r="E973" s="1"/>
      <c r="F973" s="1"/>
      <c r="G973" s="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 ht="12.75" customHeight="1">
      <c r="A974" s="111"/>
      <c r="B974" s="111"/>
      <c r="C974" s="111"/>
      <c r="D974" s="1"/>
      <c r="E974" s="1"/>
      <c r="F974" s="1"/>
      <c r="G974" s="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 ht="12.75" customHeight="1">
      <c r="A975" s="111"/>
      <c r="B975" s="111"/>
      <c r="C975" s="111"/>
      <c r="D975" s="1"/>
      <c r="E975" s="1"/>
      <c r="F975" s="1"/>
      <c r="G975" s="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 ht="12.75" customHeight="1">
      <c r="A976" s="111"/>
      <c r="B976" s="111"/>
      <c r="C976" s="111"/>
      <c r="D976" s="1"/>
      <c r="E976" s="1"/>
      <c r="F976" s="1"/>
      <c r="G976" s="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 ht="12.75" customHeight="1">
      <c r="A977" s="111"/>
      <c r="B977" s="111"/>
      <c r="C977" s="111"/>
      <c r="D977" s="1"/>
      <c r="E977" s="1"/>
      <c r="F977" s="1"/>
      <c r="G977" s="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 ht="12.75" customHeight="1">
      <c r="A978" s="111"/>
      <c r="B978" s="111"/>
      <c r="C978" s="111"/>
      <c r="D978" s="1"/>
      <c r="E978" s="1"/>
      <c r="F978" s="1"/>
      <c r="G978" s="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 ht="12.75" customHeight="1">
      <c r="A979" s="111"/>
      <c r="B979" s="111"/>
      <c r="C979" s="111"/>
      <c r="D979" s="1"/>
      <c r="E979" s="1"/>
      <c r="F979" s="1"/>
      <c r="G979" s="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 ht="12.75" customHeight="1">
      <c r="A980" s="111"/>
      <c r="B980" s="111"/>
      <c r="C980" s="111"/>
      <c r="D980" s="1"/>
      <c r="E980" s="1"/>
      <c r="F980" s="1"/>
      <c r="G980" s="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 ht="12.75" customHeight="1">
      <c r="A981" s="111"/>
      <c r="B981" s="111"/>
      <c r="C981" s="111"/>
      <c r="D981" s="1"/>
      <c r="E981" s="1"/>
      <c r="F981" s="1"/>
      <c r="G981" s="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 ht="12.75" customHeight="1">
      <c r="A982" s="111"/>
      <c r="B982" s="111"/>
      <c r="C982" s="111"/>
      <c r="D982" s="1"/>
      <c r="E982" s="1"/>
      <c r="F982" s="1"/>
      <c r="G982" s="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 ht="12.75" customHeight="1">
      <c r="A983" s="111"/>
      <c r="B983" s="111"/>
      <c r="C983" s="111"/>
      <c r="D983" s="1"/>
      <c r="E983" s="1"/>
      <c r="F983" s="1"/>
      <c r="G983" s="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 ht="12.75" customHeight="1">
      <c r="A984" s="111"/>
      <c r="B984" s="111"/>
      <c r="C984" s="111"/>
      <c r="D984" s="1"/>
      <c r="E984" s="1"/>
      <c r="F984" s="1"/>
      <c r="G984" s="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 ht="12.75" customHeight="1">
      <c r="A985" s="111"/>
      <c r="B985" s="111"/>
      <c r="C985" s="111"/>
      <c r="D985" s="1"/>
      <c r="E985" s="1"/>
      <c r="F985" s="1"/>
      <c r="G985" s="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 ht="12.75" customHeight="1">
      <c r="A986" s="111"/>
      <c r="B986" s="111"/>
      <c r="C986" s="111"/>
      <c r="D986" s="1"/>
      <c r="E986" s="1"/>
      <c r="F986" s="1"/>
      <c r="G986" s="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 ht="12.75" customHeight="1">
      <c r="A987" s="111"/>
      <c r="B987" s="111"/>
      <c r="C987" s="111"/>
      <c r="D987" s="1"/>
      <c r="E987" s="1"/>
      <c r="F987" s="1"/>
      <c r="G987" s="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 ht="12.75" customHeight="1">
      <c r="A988" s="111"/>
      <c r="B988" s="111"/>
      <c r="C988" s="111"/>
      <c r="D988" s="1"/>
      <c r="E988" s="1"/>
      <c r="F988" s="1"/>
      <c r="G988" s="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 ht="12.75" customHeight="1">
      <c r="A989" s="111"/>
      <c r="B989" s="111"/>
      <c r="C989" s="111"/>
      <c r="D989" s="1"/>
      <c r="E989" s="1"/>
      <c r="F989" s="1"/>
      <c r="G989" s="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 ht="12.75" customHeight="1">
      <c r="A990" s="111"/>
      <c r="B990" s="111"/>
      <c r="C990" s="111"/>
      <c r="D990" s="1"/>
      <c r="E990" s="1"/>
      <c r="F990" s="1"/>
      <c r="G990" s="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 ht="12.75" customHeight="1">
      <c r="A991" s="111"/>
      <c r="B991" s="111"/>
      <c r="C991" s="111"/>
      <c r="D991" s="1"/>
      <c r="E991" s="1"/>
      <c r="F991" s="1"/>
      <c r="G991" s="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 ht="12.75" customHeight="1">
      <c r="A992" s="111"/>
      <c r="B992" s="111"/>
      <c r="C992" s="111"/>
      <c r="D992" s="1"/>
      <c r="E992" s="1"/>
      <c r="F992" s="1"/>
      <c r="G992" s="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 ht="12.75" customHeight="1">
      <c r="A993" s="111"/>
      <c r="B993" s="111"/>
      <c r="C993" s="111"/>
      <c r="D993" s="1"/>
      <c r="E993" s="1"/>
      <c r="F993" s="1"/>
      <c r="G993" s="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 ht="12.75" customHeight="1">
      <c r="A994" s="111"/>
      <c r="B994" s="111"/>
      <c r="C994" s="111"/>
      <c r="D994" s="1"/>
      <c r="E994" s="1"/>
      <c r="F994" s="1"/>
      <c r="G994" s="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 ht="12.75" customHeight="1">
      <c r="A995" s="111"/>
      <c r="B995" s="111"/>
      <c r="C995" s="111"/>
      <c r="D995" s="1"/>
      <c r="E995" s="1"/>
      <c r="F995" s="1"/>
      <c r="G995" s="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 ht="12.75" customHeight="1">
      <c r="A996" s="111"/>
      <c r="B996" s="111"/>
      <c r="C996" s="111"/>
      <c r="D996" s="1"/>
      <c r="E996" s="1"/>
      <c r="F996" s="1"/>
      <c r="G996" s="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 ht="12.75" customHeight="1">
      <c r="A997" s="111"/>
      <c r="B997" s="111"/>
      <c r="C997" s="111"/>
      <c r="D997" s="1"/>
      <c r="E997" s="1"/>
      <c r="F997" s="1"/>
      <c r="G997" s="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 ht="12.75" customHeight="1">
      <c r="A998" s="111"/>
      <c r="B998" s="111"/>
      <c r="C998" s="111"/>
      <c r="D998" s="1"/>
      <c r="E998" s="1"/>
      <c r="F998" s="1"/>
      <c r="G998" s="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 ht="12.75" customHeight="1">
      <c r="A999" s="111"/>
      <c r="B999" s="111"/>
      <c r="C999" s="111"/>
      <c r="D999" s="1"/>
      <c r="E999" s="1"/>
      <c r="F999" s="1"/>
      <c r="G999" s="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 ht="12.75" customHeight="1">
      <c r="A1000" s="111"/>
      <c r="B1000" s="111"/>
      <c r="C1000" s="111"/>
      <c r="D1000" s="1"/>
      <c r="E1000" s="1"/>
      <c r="F1000" s="1"/>
      <c r="G1000" s="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  <row r="1001" ht="12.75" customHeight="1">
      <c r="A1001" s="111"/>
      <c r="B1001" s="111"/>
      <c r="C1001" s="111"/>
      <c r="D1001" s="1"/>
      <c r="E1001" s="1"/>
      <c r="F1001" s="1"/>
      <c r="G1001" s="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</row>
    <row r="1002" ht="12.75" customHeight="1">
      <c r="A1002" s="111"/>
      <c r="B1002" s="111"/>
      <c r="C1002" s="111"/>
      <c r="D1002" s="1"/>
      <c r="E1002" s="1"/>
      <c r="F1002" s="1"/>
      <c r="G1002" s="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</row>
    <row r="1003" ht="12.75" customHeight="1">
      <c r="A1003" s="111"/>
      <c r="B1003" s="111"/>
      <c r="C1003" s="111"/>
      <c r="D1003" s="1"/>
      <c r="E1003" s="1"/>
      <c r="F1003" s="1"/>
      <c r="G1003" s="1"/>
      <c r="H1003" s="111"/>
      <c r="I1003" s="111"/>
      <c r="J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</row>
    <row r="1004" ht="12.75" customHeight="1">
      <c r="A1004" s="111"/>
      <c r="B1004" s="111"/>
      <c r="C1004" s="111"/>
      <c r="D1004" s="1"/>
      <c r="E1004" s="1"/>
      <c r="F1004" s="1"/>
      <c r="G1004" s="1"/>
      <c r="H1004" s="111"/>
      <c r="I1004" s="111"/>
      <c r="J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</row>
    <row r="1005" ht="12.75" customHeight="1">
      <c r="A1005" s="111"/>
      <c r="B1005" s="111"/>
      <c r="C1005" s="111"/>
      <c r="D1005" s="1"/>
      <c r="E1005" s="1"/>
      <c r="F1005" s="1"/>
      <c r="G1005" s="1"/>
      <c r="H1005" s="111"/>
      <c r="I1005" s="111"/>
      <c r="J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</row>
    <row r="1006" ht="12.75" customHeight="1">
      <c r="A1006" s="111"/>
      <c r="B1006" s="111"/>
      <c r="C1006" s="111"/>
      <c r="D1006" s="1"/>
      <c r="E1006" s="1"/>
      <c r="F1006" s="1"/>
      <c r="G1006" s="1"/>
      <c r="H1006" s="111"/>
      <c r="I1006" s="111"/>
      <c r="J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  <c r="AB1006" s="111"/>
    </row>
  </sheetData>
  <autoFilter ref="$B$7:$G$21">
    <sortState ref="B7:G21">
      <sortCondition descending="1" ref="B7:B21"/>
    </sortState>
  </autoFilter>
  <mergeCells count="4">
    <mergeCell ref="K1:L1"/>
    <mergeCell ref="S2:W4"/>
    <mergeCell ref="S6:W8"/>
    <mergeCell ref="N11:N13"/>
  </mergeCells>
  <printOptions/>
  <pageMargins bottom="0.787401575" footer="0.0" header="0.0" left="0.511811024" right="0.511811024" top="0.787401575"/>
  <pageSetup paperSize="9" orientation="portrait"/>
  <drawing r:id="rId1"/>
</worksheet>
</file>