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Area\ElectricityCalculations\"/>
    </mc:Choice>
  </mc:AlternateContent>
  <xr:revisionPtr revIDLastSave="0" documentId="13_ncr:1_{2F769996-34EA-4372-8424-B36D86C9F669}" xr6:coauthVersionLast="47" xr6:coauthVersionMax="47" xr10:uidLastSave="{00000000-0000-0000-0000-000000000000}"/>
  <bookViews>
    <workbookView xWindow="8325" yWindow="2685" windowWidth="24735" windowHeight="12630" activeTab="2" xr2:uid="{ECB3817B-AF73-4635-88B4-AD4DB6228D86}"/>
  </bookViews>
  <sheets>
    <sheet name="Electricity 2020" sheetId="2" r:id="rId1"/>
    <sheet name="Electricity 2021" sheetId="4" r:id="rId2"/>
    <sheet name="Electricity 202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0" i="5" l="1"/>
  <c r="Y20" i="4"/>
  <c r="Y20" i="2"/>
  <c r="O6" i="5"/>
  <c r="O5" i="5"/>
  <c r="O4" i="5"/>
  <c r="AF18" i="5"/>
  <c r="T18" i="5"/>
  <c r="S18" i="5"/>
  <c r="R18" i="5"/>
  <c r="Q18" i="5"/>
  <c r="P18" i="5"/>
  <c r="N18" i="5"/>
  <c r="J18" i="5"/>
  <c r="D22" i="5" s="1"/>
  <c r="I18" i="5"/>
  <c r="E22" i="5" s="1"/>
  <c r="G18" i="5"/>
  <c r="C22" i="5" s="1"/>
  <c r="F18" i="5"/>
  <c r="E18" i="5"/>
  <c r="D18" i="5"/>
  <c r="C18" i="5"/>
  <c r="B18" i="5"/>
  <c r="AE10" i="5"/>
  <c r="AB10" i="5"/>
  <c r="Z10" i="5"/>
  <c r="W10" i="5"/>
  <c r="V10" i="5"/>
  <c r="Y10" i="5" s="1"/>
  <c r="K10" i="5"/>
  <c r="X10" i="5" s="1"/>
  <c r="H10" i="5"/>
  <c r="AE9" i="5"/>
  <c r="AB9" i="5"/>
  <c r="Z9" i="5"/>
  <c r="W9" i="5"/>
  <c r="V9" i="5"/>
  <c r="K9" i="5"/>
  <c r="L9" i="5" s="1"/>
  <c r="M9" i="5" s="1"/>
  <c r="H9" i="5"/>
  <c r="AE8" i="5"/>
  <c r="AB8" i="5"/>
  <c r="Z8" i="5"/>
  <c r="W8" i="5"/>
  <c r="V8" i="5"/>
  <c r="K8" i="5"/>
  <c r="X8" i="5" s="1"/>
  <c r="H8" i="5"/>
  <c r="AE7" i="5"/>
  <c r="AB7" i="5"/>
  <c r="Z7" i="5"/>
  <c r="W7" i="5"/>
  <c r="V7" i="5"/>
  <c r="K7" i="5"/>
  <c r="L7" i="5" s="1"/>
  <c r="M7" i="5" s="1"/>
  <c r="H7" i="5"/>
  <c r="AE6" i="5"/>
  <c r="AB6" i="5"/>
  <c r="Z6" i="5"/>
  <c r="W6" i="5"/>
  <c r="V6" i="5"/>
  <c r="K6" i="5"/>
  <c r="H6" i="5"/>
  <c r="AE5" i="5"/>
  <c r="AB5" i="5"/>
  <c r="Z5" i="5"/>
  <c r="W5" i="5"/>
  <c r="V5" i="5"/>
  <c r="K5" i="5"/>
  <c r="H5" i="5"/>
  <c r="AE4" i="5"/>
  <c r="AB4" i="5"/>
  <c r="Z4" i="5"/>
  <c r="W4" i="5"/>
  <c r="V4" i="5"/>
  <c r="L4" i="5"/>
  <c r="K4" i="5"/>
  <c r="H4" i="5"/>
  <c r="G24" i="2"/>
  <c r="AE18" i="2"/>
  <c r="AF18" i="2"/>
  <c r="AE15" i="2"/>
  <c r="AB15" i="2"/>
  <c r="Z15" i="2"/>
  <c r="X15" i="2"/>
  <c r="AA15" i="2" s="1"/>
  <c r="AC15" i="2" s="1"/>
  <c r="AD15" i="2" s="1"/>
  <c r="W15" i="2"/>
  <c r="V15" i="2"/>
  <c r="Y15" i="2" s="1"/>
  <c r="AE14" i="2"/>
  <c r="AB14" i="2"/>
  <c r="Z14" i="2"/>
  <c r="X14" i="2"/>
  <c r="W14" i="2"/>
  <c r="V14" i="2"/>
  <c r="Y14" i="2" s="1"/>
  <c r="AA14" i="2" s="1"/>
  <c r="AC14" i="2" s="1"/>
  <c r="AD14" i="2" s="1"/>
  <c r="AE13" i="2"/>
  <c r="AB13" i="2"/>
  <c r="Z13" i="2"/>
  <c r="Y13" i="2" s="1"/>
  <c r="X13" i="2"/>
  <c r="AA13" i="2" s="1"/>
  <c r="AC13" i="2" s="1"/>
  <c r="AD13" i="2" s="1"/>
  <c r="W13" i="2"/>
  <c r="V13" i="2"/>
  <c r="AE12" i="2"/>
  <c r="AB12" i="2"/>
  <c r="Z12" i="2"/>
  <c r="X12" i="2"/>
  <c r="W12" i="2"/>
  <c r="V12" i="2"/>
  <c r="Y12" i="2" s="1"/>
  <c r="AE11" i="2"/>
  <c r="AB11" i="2"/>
  <c r="Z11" i="2"/>
  <c r="X11" i="2"/>
  <c r="AA11" i="2" s="1"/>
  <c r="AC11" i="2" s="1"/>
  <c r="AD11" i="2" s="1"/>
  <c r="W11" i="2"/>
  <c r="V11" i="2"/>
  <c r="Y11" i="2" s="1"/>
  <c r="AE10" i="2"/>
  <c r="AB10" i="2"/>
  <c r="Z10" i="2"/>
  <c r="X10" i="2"/>
  <c r="W10" i="2"/>
  <c r="V10" i="2"/>
  <c r="Y10" i="2" s="1"/>
  <c r="AE9" i="2"/>
  <c r="AB9" i="2"/>
  <c r="Z9" i="2"/>
  <c r="X9" i="2"/>
  <c r="AA9" i="2" s="1"/>
  <c r="AC9" i="2" s="1"/>
  <c r="AD9" i="2" s="1"/>
  <c r="W9" i="2"/>
  <c r="W18" i="2" s="1"/>
  <c r="V9" i="2"/>
  <c r="Y9" i="2" s="1"/>
  <c r="AB18" i="2"/>
  <c r="Z18" i="2"/>
  <c r="Y18" i="2"/>
  <c r="O15" i="4"/>
  <c r="AC8" i="4"/>
  <c r="AC9" i="4"/>
  <c r="AC10" i="4"/>
  <c r="AC11" i="4"/>
  <c r="AC12" i="4"/>
  <c r="AC13" i="4"/>
  <c r="AC14" i="4"/>
  <c r="AC4" i="4"/>
  <c r="AC5" i="4"/>
  <c r="AC6" i="4"/>
  <c r="AC7" i="4"/>
  <c r="W5" i="4"/>
  <c r="W6" i="4"/>
  <c r="W7" i="4"/>
  <c r="W8" i="4"/>
  <c r="W9" i="4"/>
  <c r="W10" i="4"/>
  <c r="W11" i="4"/>
  <c r="W12" i="4"/>
  <c r="W13" i="4"/>
  <c r="W14" i="4"/>
  <c r="W15" i="4"/>
  <c r="W4" i="4"/>
  <c r="W18" i="4" s="1"/>
  <c r="Z7" i="4"/>
  <c r="AB7" i="4"/>
  <c r="AE7" i="4"/>
  <c r="Z8" i="4"/>
  <c r="AB8" i="4"/>
  <c r="AE8" i="4"/>
  <c r="Z9" i="4"/>
  <c r="AB9" i="4"/>
  <c r="AE9" i="4"/>
  <c r="Z10" i="4"/>
  <c r="AB10" i="4"/>
  <c r="AE10" i="4"/>
  <c r="Z11" i="4"/>
  <c r="AB11" i="4"/>
  <c r="AE11" i="4"/>
  <c r="Z12" i="4"/>
  <c r="AB12" i="4"/>
  <c r="AE12" i="4"/>
  <c r="Z13" i="4"/>
  <c r="AB13" i="4"/>
  <c r="AE13" i="4"/>
  <c r="Z14" i="4"/>
  <c r="AB14" i="4"/>
  <c r="AE14" i="4"/>
  <c r="Z15" i="4"/>
  <c r="AB15" i="4"/>
  <c r="AE15" i="4"/>
  <c r="V7" i="4"/>
  <c r="V8" i="4"/>
  <c r="V9" i="4"/>
  <c r="V10" i="4"/>
  <c r="V11" i="4"/>
  <c r="V12" i="4"/>
  <c r="V13" i="4"/>
  <c r="Y13" i="4" s="1"/>
  <c r="V14" i="4"/>
  <c r="V15" i="4"/>
  <c r="K7" i="4"/>
  <c r="L7" i="4" s="1"/>
  <c r="M7" i="4" s="1"/>
  <c r="K8" i="4"/>
  <c r="L8" i="4" s="1"/>
  <c r="M8" i="4" s="1"/>
  <c r="K9" i="4"/>
  <c r="L9" i="4" s="1"/>
  <c r="M9" i="4" s="1"/>
  <c r="K10" i="4"/>
  <c r="L10" i="4" s="1"/>
  <c r="M10" i="4" s="1"/>
  <c r="K11" i="4"/>
  <c r="L11" i="4" s="1"/>
  <c r="M11" i="4" s="1"/>
  <c r="K12" i="4"/>
  <c r="L12" i="4" s="1"/>
  <c r="M12" i="4" s="1"/>
  <c r="K13" i="4"/>
  <c r="L13" i="4" s="1"/>
  <c r="M13" i="4" s="1"/>
  <c r="K14" i="4"/>
  <c r="L14" i="4" s="1"/>
  <c r="M14" i="4" s="1"/>
  <c r="K15" i="4"/>
  <c r="L15" i="4" s="1"/>
  <c r="M15" i="4" s="1"/>
  <c r="H7" i="4"/>
  <c r="H8" i="4"/>
  <c r="H9" i="4"/>
  <c r="H10" i="4"/>
  <c r="H11" i="4"/>
  <c r="H12" i="4"/>
  <c r="H13" i="4"/>
  <c r="H14" i="4"/>
  <c r="H15" i="4"/>
  <c r="V6" i="4"/>
  <c r="Z6" i="4"/>
  <c r="AB6" i="4"/>
  <c r="AE6" i="4"/>
  <c r="K6" i="4"/>
  <c r="L6" i="4" s="1"/>
  <c r="M6" i="4" s="1"/>
  <c r="V5" i="4"/>
  <c r="Z5" i="4"/>
  <c r="Y5" i="4" s="1"/>
  <c r="AB5" i="4"/>
  <c r="AE5" i="4"/>
  <c r="K5" i="4"/>
  <c r="L5" i="4" s="1"/>
  <c r="M5" i="4" s="1"/>
  <c r="H5" i="4"/>
  <c r="H6" i="4"/>
  <c r="AF18" i="4"/>
  <c r="T18" i="4"/>
  <c r="S18" i="4"/>
  <c r="R18" i="4"/>
  <c r="Q18" i="4"/>
  <c r="P18" i="4"/>
  <c r="O18" i="4"/>
  <c r="N18" i="4"/>
  <c r="J18" i="4"/>
  <c r="D22" i="4" s="1"/>
  <c r="I18" i="4"/>
  <c r="E22" i="4" s="1"/>
  <c r="G18" i="4"/>
  <c r="C22" i="4" s="1"/>
  <c r="F18" i="4"/>
  <c r="E18" i="4"/>
  <c r="D18" i="4"/>
  <c r="C18" i="4"/>
  <c r="B18" i="4"/>
  <c r="AE4" i="4"/>
  <c r="AB4" i="4"/>
  <c r="Z4" i="4"/>
  <c r="V4" i="4"/>
  <c r="K4" i="4"/>
  <c r="L4" i="4" s="1"/>
  <c r="H4" i="4"/>
  <c r="K15" i="2"/>
  <c r="L15" i="2" s="1"/>
  <c r="M15" i="2" s="1"/>
  <c r="K14" i="2"/>
  <c r="L14" i="2" s="1"/>
  <c r="M14" i="2" s="1"/>
  <c r="K13" i="2"/>
  <c r="L13" i="2" s="1"/>
  <c r="M13" i="2" s="1"/>
  <c r="X6" i="5" l="1"/>
  <c r="AA6" i="5" s="1"/>
  <c r="AC6" i="5" s="1"/>
  <c r="AD6" i="5" s="1"/>
  <c r="Y6" i="5"/>
  <c r="X5" i="5"/>
  <c r="X4" i="5"/>
  <c r="Y5" i="5"/>
  <c r="AA10" i="5"/>
  <c r="AC10" i="5" s="1"/>
  <c r="AD10" i="5" s="1"/>
  <c r="L10" i="5"/>
  <c r="M10" i="5" s="1"/>
  <c r="Y9" i="5"/>
  <c r="Y8" i="5"/>
  <c r="AA8" i="5" s="1"/>
  <c r="AC8" i="5" s="1"/>
  <c r="AD8" i="5" s="1"/>
  <c r="X7" i="5"/>
  <c r="V18" i="5"/>
  <c r="W18" i="5"/>
  <c r="Z18" i="5"/>
  <c r="AE18" i="5"/>
  <c r="AB18" i="5"/>
  <c r="L5" i="5"/>
  <c r="M5" i="5" s="1"/>
  <c r="L8" i="5"/>
  <c r="M8" i="5" s="1"/>
  <c r="Y7" i="5"/>
  <c r="O18" i="5"/>
  <c r="M4" i="5"/>
  <c r="L6" i="5"/>
  <c r="M6" i="5" s="1"/>
  <c r="Y4" i="5"/>
  <c r="X9" i="5"/>
  <c r="K18" i="5"/>
  <c r="F22" i="5" s="1"/>
  <c r="AA10" i="2"/>
  <c r="AC10" i="2" s="1"/>
  <c r="AD10" i="2" s="1"/>
  <c r="AA12" i="2"/>
  <c r="AC12" i="2" s="1"/>
  <c r="AD12" i="2" s="1"/>
  <c r="V18" i="2"/>
  <c r="X18" i="2"/>
  <c r="X15" i="4"/>
  <c r="V18" i="4"/>
  <c r="X11" i="4"/>
  <c r="X10" i="4"/>
  <c r="Y12" i="4"/>
  <c r="X9" i="4"/>
  <c r="X5" i="4"/>
  <c r="AA5" i="4" s="1"/>
  <c r="Y10" i="4"/>
  <c r="X14" i="4"/>
  <c r="X13" i="4"/>
  <c r="X12" i="4"/>
  <c r="X8" i="4"/>
  <c r="X7" i="4"/>
  <c r="X6" i="4"/>
  <c r="X4" i="4"/>
  <c r="Y6" i="4"/>
  <c r="Y8" i="4"/>
  <c r="Y14" i="4"/>
  <c r="Y15" i="4"/>
  <c r="AA15" i="4" s="1"/>
  <c r="AC15" i="4" s="1"/>
  <c r="Y7" i="4"/>
  <c r="Y11" i="4"/>
  <c r="Y9" i="4"/>
  <c r="Y4" i="4"/>
  <c r="AA13" i="4"/>
  <c r="AE18" i="4"/>
  <c r="Z18" i="4"/>
  <c r="L18" i="4"/>
  <c r="M4" i="4"/>
  <c r="AB18" i="4"/>
  <c r="K18" i="4"/>
  <c r="F22" i="4" s="1"/>
  <c r="K12" i="2"/>
  <c r="L12" i="2"/>
  <c r="M12" i="2"/>
  <c r="AA5" i="5" l="1"/>
  <c r="AC5" i="5" s="1"/>
  <c r="AD5" i="5" s="1"/>
  <c r="AA9" i="5"/>
  <c r="AC9" i="5" s="1"/>
  <c r="AD9" i="5" s="1"/>
  <c r="AA7" i="5"/>
  <c r="AC7" i="5" s="1"/>
  <c r="AD7" i="5" s="1"/>
  <c r="Y18" i="5"/>
  <c r="AA4" i="5"/>
  <c r="X18" i="5"/>
  <c r="L18" i="5"/>
  <c r="AA18" i="2"/>
  <c r="AA12" i="4"/>
  <c r="AA10" i="4"/>
  <c r="AA7" i="4"/>
  <c r="AD12" i="4"/>
  <c r="AD10" i="4"/>
  <c r="AD13" i="4"/>
  <c r="AD5" i="4"/>
  <c r="AD7" i="4"/>
  <c r="AD15" i="4"/>
  <c r="AA11" i="4"/>
  <c r="AA14" i="4"/>
  <c r="Y18" i="4"/>
  <c r="AA6" i="4"/>
  <c r="AA8" i="4"/>
  <c r="AA9" i="4"/>
  <c r="AA4" i="4"/>
  <c r="X18" i="4"/>
  <c r="M18" i="4"/>
  <c r="G22" i="4"/>
  <c r="M11" i="2"/>
  <c r="K11" i="2"/>
  <c r="L11" i="2"/>
  <c r="AA18" i="5" l="1"/>
  <c r="AC4" i="5"/>
  <c r="AD4" i="5" s="1"/>
  <c r="G22" i="5"/>
  <c r="M18" i="5"/>
  <c r="AC18" i="2"/>
  <c r="AD9" i="4"/>
  <c r="AD11" i="4"/>
  <c r="AD8" i="4"/>
  <c r="AD14" i="4"/>
  <c r="AA18" i="4"/>
  <c r="K10" i="2"/>
  <c r="L10" i="2"/>
  <c r="M10" i="2" s="1"/>
  <c r="AC18" i="5" l="1"/>
  <c r="G24" i="5" s="1"/>
  <c r="O22" i="5" s="1"/>
  <c r="AD6" i="4"/>
  <c r="AD4" i="4"/>
  <c r="H9" i="2"/>
  <c r="H4" i="2"/>
  <c r="H5" i="2"/>
  <c r="H6" i="2"/>
  <c r="H7" i="2"/>
  <c r="H8" i="2"/>
  <c r="H10" i="2"/>
  <c r="H11" i="2"/>
  <c r="H12" i="2"/>
  <c r="H13" i="2"/>
  <c r="H14" i="2"/>
  <c r="H15" i="2"/>
  <c r="B18" i="2"/>
  <c r="S18" i="2"/>
  <c r="T18" i="2"/>
  <c r="R18" i="2"/>
  <c r="Q18" i="2"/>
  <c r="P18" i="2"/>
  <c r="N18" i="2"/>
  <c r="O18" i="2"/>
  <c r="G27" i="5" l="1"/>
  <c r="AC18" i="4"/>
  <c r="G24" i="4" s="1"/>
  <c r="G27" i="4" s="1"/>
  <c r="J18" i="2"/>
  <c r="D22" i="2" s="1"/>
  <c r="I18" i="2"/>
  <c r="E22" i="2" s="1"/>
  <c r="D18" i="2"/>
  <c r="E18" i="2"/>
  <c r="F18" i="2"/>
  <c r="G18" i="2"/>
  <c r="C18" i="2"/>
  <c r="K4" i="2"/>
  <c r="K5" i="2"/>
  <c r="K6" i="2"/>
  <c r="K7" i="2"/>
  <c r="K8" i="2"/>
  <c r="K9" i="2"/>
  <c r="O22" i="4" l="1"/>
  <c r="C22" i="2"/>
  <c r="L5" i="2"/>
  <c r="M5" i="2" s="1"/>
  <c r="L9" i="2"/>
  <c r="M9" i="2" s="1"/>
  <c r="L4" i="2"/>
  <c r="M4" i="2" s="1"/>
  <c r="L8" i="2"/>
  <c r="M8" i="2" s="1"/>
  <c r="L7" i="2"/>
  <c r="M7" i="2" s="1"/>
  <c r="L6" i="2"/>
  <c r="M6" i="2" s="1"/>
  <c r="K18" i="2"/>
  <c r="F22" i="2" s="1"/>
  <c r="L18" i="2" l="1"/>
  <c r="G22" i="2" l="1"/>
  <c r="M18" i="2"/>
  <c r="O22" i="2" l="1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  <author>tc={76BFE69C-7F47-48F2-A438-4C262BA666B7}</author>
    <author>tc={3B4F1765-4E89-4343-A705-3C134C1B6F43}</author>
  </authors>
  <commentList>
    <comment ref="B3" authorId="0" shapeId="0" xr:uid="{1B664088-23FD-473D-8C06-557FDE18B3AE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27EED85-12D4-4FB8-999B-283256D9139C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94518D0C-87B2-4D35-8B5F-545DB98B6FE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E4D71331-6427-4F23-9E23-498F2C1E3329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ED05A845-5B34-4867-A1A6-0D7BD9B37CB9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  <comment ref="H9" authorId="1" shapeId="0" xr:uid="{76BFE69C-7F47-48F2-A438-4C262BA666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22 days of production (adjusted accordingly)</t>
      </text>
    </comment>
    <comment ref="B11" authorId="2" shapeId="0" xr:uid="{3B4F1765-4E89-4343-A705-3C134C1B6F43}">
      <text>
        <t>[Threaded comment]
Your version of Excel allows you to read this threaded comment; however, any edits to it will get removed if the file is opened in a newer version of Excel. Learn more: https://go.microsoft.com/fwlink/?linkid=870924
Comment:
    Few more cells where added, value is original 19.11kWp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</authors>
  <commentList>
    <comment ref="B3" authorId="0" shapeId="0" xr:uid="{04D0C4C6-2340-4F31-B7F1-B9FCFA0A7F9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03D466D7-E11D-4851-82C6-01567EC6ABD0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13CF25BD-632B-4DCD-B8AA-F8117B7B02A8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63D4AB26-8563-41FF-93EC-EC8DA6CB4E5A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557A947D-E279-4933-93B2-6B3A141920E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</authors>
  <commentList>
    <comment ref="B3" authorId="0" shapeId="0" xr:uid="{A04B6F5B-6551-4B65-8F85-D75ECB84799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61F8C1F-B9CE-43C1-AE98-B6A5A25727C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A9D7C1E3-CEAD-4A63-8F64-0258B519CC34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E7BBAD56-5124-4104-921C-1CD184F85FA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BE45E90B-56F6-4A47-A2DB-1EAD09E0059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</commentList>
</comments>
</file>

<file path=xl/sharedStrings.xml><?xml version="1.0" encoding="utf-8"?>
<sst xmlns="http://schemas.openxmlformats.org/spreadsheetml/2006/main" count="280" uniqueCount="71">
  <si>
    <t>kWh</t>
  </si>
  <si>
    <t>SolarEdge</t>
  </si>
  <si>
    <t>E.On</t>
  </si>
  <si>
    <t>Consumption (Wh)</t>
  </si>
  <si>
    <t>Export (Wh)</t>
  </si>
  <si>
    <t>Import (Wh)</t>
  </si>
  <si>
    <t>Self Consumption (Wh)</t>
  </si>
  <si>
    <t>System Production (Wh)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</si>
  <si>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</si>
  <si>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</si>
  <si>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</si>
  <si>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</si>
  <si>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</si>
  <si>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</si>
  <si>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</si>
  <si>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</si>
  <si>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</si>
  <si>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</si>
  <si>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</si>
  <si>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</si>
  <si>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Data from SolarEdge Dashboard (exported per year)</t>
  </si>
  <si>
    <t>Sold (kWh)</t>
  </si>
  <si>
    <t>Real Consumption (kWh)</t>
  </si>
  <si>
    <t>Sum</t>
  </si>
  <si>
    <t>E.On data</t>
  </si>
  <si>
    <t>Fee electricity (inc. VAT)</t>
  </si>
  <si>
    <t>Fee Grid (inc. VAT)</t>
  </si>
  <si>
    <t>Buy price
(per kWh)</t>
  </si>
  <si>
    <t>Distribution</t>
  </si>
  <si>
    <t>Tax</t>
  </si>
  <si>
    <t>Sell Price</t>
  </si>
  <si>
    <t>Loss reemb.</t>
  </si>
  <si>
    <t>Data from E.On invoice</t>
  </si>
  <si>
    <t>Profit sale</t>
  </si>
  <si>
    <t>Savings by solarcells</t>
  </si>
  <si>
    <t>Tax return</t>
  </si>
  <si>
    <t>SEK</t>
  </si>
  <si>
    <t>Öre/KWh</t>
  </si>
  <si>
    <t>Total payback</t>
  </si>
  <si>
    <t>Estimated Production (kWh)</t>
  </si>
  <si>
    <t>Outcome vs Estimate</t>
  </si>
  <si>
    <t>Value per produced kWh (to SolarEdge Dashboard)</t>
  </si>
  <si>
    <t>Production Total</t>
  </si>
  <si>
    <t>Total Sold</t>
  </si>
  <si>
    <t>Total Bought</t>
  </si>
  <si>
    <t>Total Consumption</t>
  </si>
  <si>
    <t>Bought (kWh)</t>
  </si>
  <si>
    <t>Self consumption (kWh)</t>
  </si>
  <si>
    <t>Total Self Consumption</t>
  </si>
  <si>
    <t>Total value of solar cell production 2020</t>
  </si>
  <si>
    <t>Intrest cost investment (SEK)</t>
  </si>
  <si>
    <t>Total value of solar cells after intrest 2020</t>
  </si>
  <si>
    <t>Calculated values</t>
  </si>
  <si>
    <t>The values below are calculated from data to the left</t>
  </si>
  <si>
    <t>Data from E.on website</t>
  </si>
  <si>
    <t>Sold
EC + UG 2020</t>
  </si>
  <si>
    <t>(update if and when a sale is made)</t>
  </si>
  <si>
    <t>Cost of bought kWh</t>
  </si>
  <si>
    <t>Average SEK/kWh incl. EC+UG</t>
  </si>
  <si>
    <t>(enter this value into SolarEdge Dashboard per 2020-01-01)</t>
  </si>
  <si>
    <t>Percentage of selfconsumption (%)</t>
  </si>
  <si>
    <t>Virtual electricity bill (SEK)</t>
  </si>
  <si>
    <t>Actual Electricity bill (SEK)</t>
  </si>
  <si>
    <t>Net Cost of electricity (SEK)</t>
  </si>
  <si>
    <t>Total value of solar cell production 2021</t>
  </si>
  <si>
    <t>Total value of solar cells after intrest 2021</t>
  </si>
  <si>
    <t>(enter this value into SolarEdge Dashboard per 2021-01-01)</t>
  </si>
  <si>
    <t>Monthly average price</t>
  </si>
  <si>
    <t>E.On Data</t>
  </si>
  <si>
    <t>Virtual Net Cost of electricity (SEK)</t>
  </si>
  <si>
    <t>(enter this value into SolarEdge Dashboard per 2022-01-01)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</si>
</sst>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kr&quot;_-;\-* #,##0.00\ &quot;kr&quot;_-;_-* &quot;-&quot;??\ &quot;kr&quot;_-;_-@_-"/>
    <numFmt numFmtId="164" formatCode="0.0000"/>
    <numFmt numFmtId="165" formatCode="0.0%"/>
    <numFmt numFmtId="166" formatCode="_-* #,##0.00\ &quot;kr&quot;_-;\-* #,##0.00\ &quot;kr&quot;_-;_-* &quot;-&quot;????\ &quot;kr&quot;_-;_-@_-"/>
    <numFmt numFmtId="167" formatCode="_-* #,##0.000\ &quot;kr&quot;_-;\-* #,##0.000\ &quot;kr&quot;_-;_-* &quot;-&quot;??\ &quot;kr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21CC7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1CC72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2" fontId="0" fillId="6" borderId="0" xfId="0" applyNumberFormat="1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2" fontId="0" fillId="8" borderId="0" xfId="0" applyNumberFormat="1" applyFill="1"/>
    <xf numFmtId="1" fontId="0" fillId="9" borderId="0" xfId="0" applyNumberFormat="1" applyFill="1"/>
    <xf numFmtId="0" fontId="5" fillId="0" borderId="0" xfId="0" applyFont="1" applyAlignment="1">
      <alignment horizontal="right" vertical="center" wrapText="1"/>
    </xf>
    <xf numFmtId="165" fontId="0" fillId="2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0" fillId="0" borderId="7" xfId="0" applyBorder="1"/>
    <xf numFmtId="0" fontId="0" fillId="0" borderId="8" xfId="0" applyBorder="1"/>
    <xf numFmtId="44" fontId="0" fillId="0" borderId="8" xfId="1" applyFont="1" applyBorder="1" applyAlignment="1"/>
    <xf numFmtId="0" fontId="0" fillId="0" borderId="9" xfId="0" applyBorder="1"/>
    <xf numFmtId="0" fontId="2" fillId="0" borderId="5" xfId="0" applyFont="1" applyBorder="1"/>
    <xf numFmtId="0" fontId="8" fillId="0" borderId="0" xfId="0" applyFont="1"/>
    <xf numFmtId="44" fontId="9" fillId="9" borderId="0" xfId="1" applyFont="1" applyFill="1"/>
    <xf numFmtId="164" fontId="0" fillId="6" borderId="0" xfId="0" applyNumberFormat="1" applyFill="1"/>
    <xf numFmtId="0" fontId="2" fillId="10" borderId="0" xfId="0" applyFont="1" applyFill="1" applyAlignment="1">
      <alignment wrapText="1"/>
    </xf>
    <xf numFmtId="0" fontId="0" fillId="11" borderId="0" xfId="0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6" fontId="13" fillId="11" borderId="6" xfId="0" applyNumberFormat="1" applyFont="1" applyFill="1" applyBorder="1"/>
    <xf numFmtId="44" fontId="13" fillId="11" borderId="6" xfId="1" applyFont="1" applyFill="1" applyBorder="1" applyAlignment="1"/>
    <xf numFmtId="9" fontId="0" fillId="9" borderId="0" xfId="2" applyFont="1" applyFill="1"/>
    <xf numFmtId="9" fontId="2" fillId="0" borderId="0" xfId="2" applyFont="1" applyFill="1"/>
    <xf numFmtId="0" fontId="14" fillId="0" borderId="0" xfId="0" applyFont="1" applyAlignment="1">
      <alignment horizontal="right" vertical="center" wrapText="1"/>
    </xf>
    <xf numFmtId="0" fontId="15" fillId="2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wrapText="1"/>
    </xf>
    <xf numFmtId="167" fontId="9" fillId="9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12" borderId="0" xfId="0" applyFont="1" applyFill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nus Pernemark" id="{D9B1315B-F406-4F34-B1AC-A9B4C068D828}" userId="S::magnus.pernemark@evry.com::3d6e99da-d1b8-46ff-806b-3424a54f5a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7-06T22:23:19.89" personId="{D9B1315B-F406-4F34-B1AC-A9B4C068D828}" id="{76BFE69C-7F47-48F2-A438-4C262BA666B7}">
    <text>Only 22 days of production (adjusted accordingly)</text>
  </threadedComment>
  <threadedComment ref="B11" dT="2020-09-07T18:17:49.06" personId="{D9B1315B-F406-4F34-B1AC-A9B4C068D828}" id="{3B4F1765-4E89-4343-A705-3C134C1B6F43}">
    <text>Few more cells where added, value is original 19.11kWp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3E28-38CC-4E14-8F03-C1FE1A23361C}">
  <dimension ref="A1:AG28"/>
  <sheetViews>
    <sheetView topLeftCell="O1" workbookViewId="0">
      <selection activeCell="Y20" sqref="Y20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85546875" customWidth="1"/>
    <col min="22" max="22" width="11.7109375" customWidth="1"/>
    <col min="23" max="23" width="10.28515625" customWidth="1"/>
    <col min="24" max="24" width="11" customWidth="1"/>
    <col min="25" max="25" width="9.140625" customWidth="1"/>
    <col min="26" max="26" width="11.5703125" customWidth="1"/>
    <col min="27" max="27" width="10" bestFit="1" customWidth="1"/>
    <col min="28" max="28" width="13.28515625" bestFit="1" customWidth="1"/>
    <col min="29" max="30" width="15.85546875" customWidth="1"/>
    <col min="31" max="31" width="11.85546875" customWidth="1"/>
  </cols>
  <sheetData>
    <row r="1" spans="1:33" x14ac:dyDescent="0.25">
      <c r="A1" s="10">
        <v>2020</v>
      </c>
      <c r="B1" s="10"/>
      <c r="C1" s="62" t="s">
        <v>1</v>
      </c>
      <c r="D1" s="62"/>
      <c r="E1" s="62"/>
      <c r="F1" s="62"/>
      <c r="G1" s="62"/>
      <c r="H1" s="62"/>
      <c r="I1" s="62" t="s">
        <v>2</v>
      </c>
      <c r="J1" s="62"/>
      <c r="K1" s="4"/>
      <c r="L1" s="4"/>
      <c r="M1" s="4"/>
      <c r="N1" s="62" t="s">
        <v>24</v>
      </c>
      <c r="O1" s="62"/>
      <c r="P1" s="62"/>
      <c r="Q1" s="62"/>
      <c r="R1" s="62"/>
      <c r="S1" s="62"/>
      <c r="T1" s="62"/>
      <c r="U1" s="58" t="s">
        <v>68</v>
      </c>
      <c r="V1" s="58"/>
      <c r="W1" s="58"/>
      <c r="X1" s="62" t="s">
        <v>52</v>
      </c>
      <c r="Y1" s="62"/>
      <c r="Z1" s="62"/>
      <c r="AA1" s="62"/>
      <c r="AB1" s="62"/>
      <c r="AC1" s="62"/>
      <c r="AD1" s="62"/>
      <c r="AE1" s="62"/>
    </row>
    <row r="2" spans="1:33" x14ac:dyDescent="0.25">
      <c r="C2" s="63" t="s">
        <v>20</v>
      </c>
      <c r="D2" s="63"/>
      <c r="E2" s="63"/>
      <c r="F2" s="63"/>
      <c r="G2" s="63"/>
      <c r="H2" s="63"/>
      <c r="I2" s="63" t="s">
        <v>54</v>
      </c>
      <c r="J2" s="63"/>
      <c r="N2" s="63" t="s">
        <v>32</v>
      </c>
      <c r="O2" s="63"/>
      <c r="P2" s="63"/>
      <c r="Q2" s="63"/>
      <c r="R2" s="63"/>
      <c r="S2" s="63"/>
      <c r="T2" s="63"/>
      <c r="U2" s="64" t="s">
        <v>67</v>
      </c>
      <c r="V2" s="59"/>
      <c r="W2" s="59"/>
      <c r="X2" s="63" t="s">
        <v>53</v>
      </c>
      <c r="Y2" s="63"/>
      <c r="Z2" s="63"/>
      <c r="AA2" s="63"/>
      <c r="AB2" s="63"/>
      <c r="AC2" s="63"/>
      <c r="AD2" s="63"/>
      <c r="AE2" s="63"/>
    </row>
    <row r="3" spans="1:33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6"/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</row>
    <row r="4" spans="1:33" x14ac:dyDescent="0.25">
      <c r="A4" s="2" t="s">
        <v>8</v>
      </c>
      <c r="B4" s="21">
        <v>211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2">
        <f>(G4/1000)/B4</f>
        <v>0</v>
      </c>
      <c r="I4" s="7">
        <v>2451</v>
      </c>
      <c r="J4" s="7">
        <v>0</v>
      </c>
      <c r="K4" s="20">
        <f t="shared" ref="K4:K15" si="0">(G4/1000)+I4-J4</f>
        <v>2451</v>
      </c>
      <c r="L4" s="20">
        <f>K4-I4</f>
        <v>0</v>
      </c>
      <c r="M4" s="50">
        <f>L4/K4</f>
        <v>0</v>
      </c>
      <c r="N4" s="18">
        <v>0</v>
      </c>
      <c r="O4" s="18">
        <v>383.75</v>
      </c>
      <c r="P4" s="19">
        <v>36.5</v>
      </c>
      <c r="Q4" s="19">
        <v>14.4</v>
      </c>
      <c r="R4" s="19">
        <v>44.13</v>
      </c>
      <c r="S4" s="19"/>
      <c r="T4" s="19"/>
      <c r="U4" s="19"/>
      <c r="V4" s="14"/>
      <c r="W4" s="14"/>
      <c r="X4" s="14"/>
      <c r="Y4" s="14"/>
      <c r="Z4" s="14"/>
      <c r="AA4" s="14"/>
      <c r="AB4" s="15"/>
      <c r="AC4" s="14"/>
      <c r="AD4" s="35"/>
      <c r="AE4" s="35"/>
      <c r="AF4" s="37"/>
    </row>
    <row r="5" spans="1:33" x14ac:dyDescent="0.25">
      <c r="A5" s="2" t="s">
        <v>9</v>
      </c>
      <c r="B5" s="21">
        <v>509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2">
        <f>(G5/1000)/B5</f>
        <v>0</v>
      </c>
      <c r="I5" s="7">
        <v>2291</v>
      </c>
      <c r="J5" s="7">
        <v>0</v>
      </c>
      <c r="K5" s="20">
        <f t="shared" si="0"/>
        <v>2291</v>
      </c>
      <c r="L5" s="20">
        <f t="shared" ref="L5:L15" si="1">K5-I5</f>
        <v>0</v>
      </c>
      <c r="M5" s="50">
        <f t="shared" ref="M5:M18" si="2">L5/K5</f>
        <v>0</v>
      </c>
      <c r="N5" s="18">
        <v>0</v>
      </c>
      <c r="O5" s="18">
        <v>383.75</v>
      </c>
      <c r="P5" s="19">
        <v>30.19</v>
      </c>
      <c r="Q5" s="19">
        <v>14.4</v>
      </c>
      <c r="R5" s="19">
        <v>44.13</v>
      </c>
      <c r="S5" s="19"/>
      <c r="T5" s="19"/>
      <c r="U5" s="19"/>
      <c r="V5" s="14"/>
      <c r="W5" s="14"/>
      <c r="X5" s="14"/>
      <c r="Y5" s="14"/>
      <c r="Z5" s="14"/>
      <c r="AA5" s="14"/>
      <c r="AB5" s="15"/>
      <c r="AC5" s="14"/>
      <c r="AD5" s="35"/>
      <c r="AE5" s="35"/>
      <c r="AF5" s="37"/>
    </row>
    <row r="6" spans="1:33" x14ac:dyDescent="0.25">
      <c r="A6" s="2" t="s">
        <v>10</v>
      </c>
      <c r="B6" s="21">
        <v>1223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2">
        <f>(G6/1000)/B6</f>
        <v>0</v>
      </c>
      <c r="I6" s="7">
        <v>2233</v>
      </c>
      <c r="J6" s="7">
        <v>0</v>
      </c>
      <c r="K6" s="20">
        <f t="shared" si="0"/>
        <v>2233</v>
      </c>
      <c r="L6" s="20">
        <f t="shared" si="1"/>
        <v>0</v>
      </c>
      <c r="M6" s="50">
        <f t="shared" si="2"/>
        <v>0</v>
      </c>
      <c r="N6" s="18">
        <v>0</v>
      </c>
      <c r="O6" s="18">
        <v>383.75</v>
      </c>
      <c r="P6" s="19">
        <v>24.06</v>
      </c>
      <c r="Q6" s="19">
        <v>14.4</v>
      </c>
      <c r="R6" s="19">
        <v>44.13</v>
      </c>
      <c r="S6" s="19"/>
      <c r="T6" s="19"/>
      <c r="U6" s="19"/>
      <c r="V6" s="14"/>
      <c r="W6" s="14"/>
      <c r="X6" s="14"/>
      <c r="Y6" s="14"/>
      <c r="Z6" s="14"/>
      <c r="AA6" s="14"/>
      <c r="AB6" s="15"/>
      <c r="AC6" s="14"/>
      <c r="AD6" s="35"/>
      <c r="AE6" s="35"/>
      <c r="AF6" s="37"/>
    </row>
    <row r="7" spans="1:33" x14ac:dyDescent="0.25">
      <c r="A7" s="2" t="s">
        <v>11</v>
      </c>
      <c r="B7" s="21">
        <v>1988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2">
        <f>(G7/1000)/B7</f>
        <v>0</v>
      </c>
      <c r="I7" s="7">
        <v>1664</v>
      </c>
      <c r="J7" s="7">
        <v>0</v>
      </c>
      <c r="K7" s="20">
        <f t="shared" si="0"/>
        <v>1664</v>
      </c>
      <c r="L7" s="20">
        <f t="shared" si="1"/>
        <v>0</v>
      </c>
      <c r="M7" s="50">
        <f t="shared" si="2"/>
        <v>0</v>
      </c>
      <c r="N7" s="18">
        <v>0</v>
      </c>
      <c r="O7" s="18">
        <v>383.75</v>
      </c>
      <c r="P7" s="19">
        <v>17.059999999999999</v>
      </c>
      <c r="Q7" s="19">
        <v>14.4</v>
      </c>
      <c r="R7" s="19">
        <v>44.13</v>
      </c>
      <c r="S7" s="19"/>
      <c r="T7" s="19"/>
      <c r="U7" s="19"/>
      <c r="V7" s="14"/>
      <c r="W7" s="14"/>
      <c r="X7" s="14"/>
      <c r="Y7" s="14"/>
      <c r="Z7" s="14"/>
      <c r="AA7" s="14"/>
      <c r="AB7" s="15"/>
      <c r="AC7" s="14"/>
      <c r="AD7" s="35"/>
      <c r="AE7" s="35"/>
      <c r="AF7" s="37"/>
    </row>
    <row r="8" spans="1:33" x14ac:dyDescent="0.25">
      <c r="A8" s="2" t="s">
        <v>12</v>
      </c>
      <c r="B8" s="21">
        <v>2769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2">
        <f>(G8/1000)/B8</f>
        <v>0</v>
      </c>
      <c r="I8" s="7">
        <v>1456</v>
      </c>
      <c r="J8" s="7">
        <v>0</v>
      </c>
      <c r="K8" s="20">
        <f t="shared" si="0"/>
        <v>1456</v>
      </c>
      <c r="L8" s="20">
        <f t="shared" si="1"/>
        <v>0</v>
      </c>
      <c r="M8" s="50">
        <f t="shared" si="2"/>
        <v>0</v>
      </c>
      <c r="N8" s="18">
        <v>0</v>
      </c>
      <c r="O8" s="18">
        <v>383.75</v>
      </c>
      <c r="P8" s="19">
        <v>22.54</v>
      </c>
      <c r="Q8" s="19">
        <v>14.4</v>
      </c>
      <c r="R8" s="19">
        <v>44.13</v>
      </c>
      <c r="S8" s="19"/>
      <c r="T8" s="19"/>
      <c r="U8" s="19"/>
      <c r="V8" s="14"/>
      <c r="W8" s="14"/>
      <c r="X8" s="14"/>
      <c r="Y8" s="14"/>
      <c r="Z8" s="14"/>
      <c r="AA8" s="14"/>
      <c r="AB8" s="15"/>
      <c r="AC8" s="14"/>
      <c r="AD8" s="35"/>
      <c r="AE8" s="35"/>
      <c r="AF8" s="37"/>
    </row>
    <row r="9" spans="1:33" x14ac:dyDescent="0.25">
      <c r="A9" s="2" t="s">
        <v>13</v>
      </c>
      <c r="B9" s="21">
        <v>2686</v>
      </c>
      <c r="C9" s="3">
        <v>1040437</v>
      </c>
      <c r="D9" s="3">
        <v>1949813</v>
      </c>
      <c r="E9" s="3">
        <v>502351</v>
      </c>
      <c r="F9" s="3">
        <v>538086</v>
      </c>
      <c r="G9" s="3">
        <v>2490290</v>
      </c>
      <c r="H9" s="22">
        <f>(G9/1000)/(B9*22/30)</f>
        <v>1.26427773641102</v>
      </c>
      <c r="I9" s="7">
        <v>372</v>
      </c>
      <c r="J9" s="7">
        <v>1865</v>
      </c>
      <c r="K9" s="20">
        <f t="shared" si="0"/>
        <v>997.29</v>
      </c>
      <c r="L9" s="20">
        <f t="shared" si="1"/>
        <v>625.29</v>
      </c>
      <c r="M9" s="50">
        <f t="shared" si="2"/>
        <v>0.62698914057094723</v>
      </c>
      <c r="N9" s="18">
        <v>0</v>
      </c>
      <c r="O9" s="18">
        <v>383.75</v>
      </c>
      <c r="P9" s="19">
        <v>37.08</v>
      </c>
      <c r="Q9" s="19">
        <v>14.4</v>
      </c>
      <c r="R9" s="19">
        <v>44.13</v>
      </c>
      <c r="S9" s="19">
        <v>45.66</v>
      </c>
      <c r="T9" s="19">
        <v>2.92</v>
      </c>
      <c r="U9" s="19">
        <v>37.08</v>
      </c>
      <c r="V9" s="14">
        <f>P9*I9/100</f>
        <v>137.9376</v>
      </c>
      <c r="W9" s="14">
        <f t="shared" ref="W5:W15" si="3">U9*I9/100</f>
        <v>137.9376</v>
      </c>
      <c r="X9" s="14">
        <f t="shared" ref="X4:X14" si="4">(K9*(U9+Q9+R9)/100)+N9+O9</f>
        <v>1337.258969</v>
      </c>
      <c r="Y9" s="14">
        <f>(O9+((Q9+R9)*I9/100)+V9)-Z9</f>
        <v>-166.59780000000001</v>
      </c>
      <c r="Z9" s="14">
        <f>J9*(S9+T9)/100</f>
        <v>906.01699999999994</v>
      </c>
      <c r="AA9" s="14">
        <f t="shared" ref="AA4:AA15" si="5">X9-Y9</f>
        <v>1503.856769</v>
      </c>
      <c r="AB9" s="15">
        <f>J9*0.6</f>
        <v>1119</v>
      </c>
      <c r="AC9" s="14">
        <f t="shared" ref="AC8:AC14" si="6">AA9+AB9</f>
        <v>2622.856769</v>
      </c>
      <c r="AD9" s="35">
        <f>AC9/(G9/1000)</f>
        <v>1.0532334663834333</v>
      </c>
      <c r="AE9" s="35">
        <f>(P9+Q9+R9)/100</f>
        <v>0.95609999999999995</v>
      </c>
      <c r="AF9" s="37">
        <v>303</v>
      </c>
    </row>
    <row r="10" spans="1:33" x14ac:dyDescent="0.25">
      <c r="A10" s="2" t="s">
        <v>14</v>
      </c>
      <c r="B10" s="21">
        <v>2604</v>
      </c>
      <c r="C10" s="3">
        <v>903294</v>
      </c>
      <c r="D10" s="3">
        <v>2114410</v>
      </c>
      <c r="E10" s="3">
        <v>379041</v>
      </c>
      <c r="F10" s="3">
        <v>509224</v>
      </c>
      <c r="G10" s="3">
        <v>2627765</v>
      </c>
      <c r="H10" s="22">
        <f t="shared" ref="H10:H15" si="7">(G10/1000)/B10</f>
        <v>1.0091263440860214</v>
      </c>
      <c r="I10" s="7">
        <v>303</v>
      </c>
      <c r="J10" s="7">
        <v>1991</v>
      </c>
      <c r="K10" s="20">
        <f t="shared" si="0"/>
        <v>939.76499999999987</v>
      </c>
      <c r="L10" s="20">
        <f t="shared" si="1"/>
        <v>636.76499999999987</v>
      </c>
      <c r="M10" s="50">
        <f t="shared" si="2"/>
        <v>0.67757896921038763</v>
      </c>
      <c r="N10" s="18">
        <v>0</v>
      </c>
      <c r="O10" s="18">
        <v>383.75</v>
      </c>
      <c r="P10" s="19">
        <v>17.03</v>
      </c>
      <c r="Q10" s="19">
        <v>14.4</v>
      </c>
      <c r="R10" s="19">
        <v>44.13</v>
      </c>
      <c r="S10" s="19">
        <v>21.45</v>
      </c>
      <c r="T10" s="18">
        <v>2.92</v>
      </c>
      <c r="U10" s="19">
        <v>17.03</v>
      </c>
      <c r="V10" s="14">
        <f>P10*I10/100</f>
        <v>51.600900000000003</v>
      </c>
      <c r="W10" s="14">
        <f t="shared" si="3"/>
        <v>51.600900000000003</v>
      </c>
      <c r="X10" s="14">
        <f t="shared" si="4"/>
        <v>1093.8364339999998</v>
      </c>
      <c r="Y10" s="14">
        <f>(O10+((Q10+R10)*I10/100)+V10)-Z10</f>
        <v>127.4901000000001</v>
      </c>
      <c r="Z10" s="14">
        <f>J10*(S10+T10)/100</f>
        <v>485.20669999999996</v>
      </c>
      <c r="AA10" s="14">
        <f t="shared" si="5"/>
        <v>966.34633399999973</v>
      </c>
      <c r="AB10" s="15">
        <f>J10*0.6</f>
        <v>1194.5999999999999</v>
      </c>
      <c r="AC10" s="14">
        <f t="shared" si="6"/>
        <v>2160.9463339999998</v>
      </c>
      <c r="AD10" s="35">
        <f>AC10/(G10/1000)</f>
        <v>0.82235144086324308</v>
      </c>
      <c r="AE10" s="35">
        <f>(P10+Q10+R10)/100</f>
        <v>0.75560000000000005</v>
      </c>
      <c r="AF10" s="37">
        <v>304</v>
      </c>
    </row>
    <row r="11" spans="1:33" x14ac:dyDescent="0.25">
      <c r="A11" s="2" t="s">
        <v>15</v>
      </c>
      <c r="B11" s="21">
        <v>2173</v>
      </c>
      <c r="C11" s="3">
        <v>911026</v>
      </c>
      <c r="D11" s="3">
        <v>1885712</v>
      </c>
      <c r="E11" s="3">
        <v>345331</v>
      </c>
      <c r="F11" s="3">
        <v>565695</v>
      </c>
      <c r="G11" s="3">
        <v>2451407</v>
      </c>
      <c r="H11" s="22">
        <f t="shared" si="7"/>
        <v>1.1281210308329499</v>
      </c>
      <c r="I11" s="7">
        <v>345</v>
      </c>
      <c r="J11" s="7">
        <v>1882</v>
      </c>
      <c r="K11" s="20">
        <f t="shared" si="0"/>
        <v>914.40700000000015</v>
      </c>
      <c r="L11" s="20">
        <f t="shared" si="1"/>
        <v>569.40700000000015</v>
      </c>
      <c r="M11" s="50">
        <f t="shared" si="2"/>
        <v>0.62270630036734198</v>
      </c>
      <c r="N11" s="18">
        <v>0</v>
      </c>
      <c r="O11" s="18">
        <v>383.75</v>
      </c>
      <c r="P11" s="19">
        <v>50.91</v>
      </c>
      <c r="Q11" s="19">
        <v>14.4</v>
      </c>
      <c r="R11" s="19">
        <v>44.13</v>
      </c>
      <c r="S11" s="19">
        <v>54.63</v>
      </c>
      <c r="T11" s="18">
        <v>2.92</v>
      </c>
      <c r="U11" s="19">
        <v>50.91</v>
      </c>
      <c r="V11" s="14">
        <f>P11*I11/100</f>
        <v>175.63949999999997</v>
      </c>
      <c r="W11" s="14">
        <f t="shared" si="3"/>
        <v>175.63949999999997</v>
      </c>
      <c r="X11" s="14">
        <f t="shared" si="4"/>
        <v>1384.4770208000002</v>
      </c>
      <c r="Y11" s="14">
        <f>(O11+((Q11+R11)*I11/100)+V11)-Z11</f>
        <v>-321.77300000000014</v>
      </c>
      <c r="Z11" s="14">
        <f>J11*(S11+T11)/100</f>
        <v>1083.0910000000001</v>
      </c>
      <c r="AA11" s="14">
        <f t="shared" si="5"/>
        <v>1706.2500208000004</v>
      </c>
      <c r="AB11" s="15">
        <f>J11*0.6</f>
        <v>1129.2</v>
      </c>
      <c r="AC11" s="14">
        <f t="shared" si="6"/>
        <v>2835.4500208000004</v>
      </c>
      <c r="AD11" s="35">
        <f>AC11/(G11/1000)</f>
        <v>1.1566622844758134</v>
      </c>
      <c r="AE11" s="35">
        <f>(P11+Q11+R11)/100</f>
        <v>1.0944</v>
      </c>
      <c r="AF11" s="37">
        <v>305</v>
      </c>
    </row>
    <row r="12" spans="1:33" x14ac:dyDescent="0.25">
      <c r="A12" s="2" t="s">
        <v>16</v>
      </c>
      <c r="B12" s="52">
        <v>1649</v>
      </c>
      <c r="C12" s="3">
        <v>963500</v>
      </c>
      <c r="D12" s="3">
        <v>1021839</v>
      </c>
      <c r="E12" s="3">
        <v>540904</v>
      </c>
      <c r="F12" s="3">
        <v>422596</v>
      </c>
      <c r="G12" s="3">
        <v>1444435</v>
      </c>
      <c r="H12" s="22">
        <f t="shared" si="7"/>
        <v>0.87594602789569431</v>
      </c>
      <c r="I12" s="7">
        <v>541</v>
      </c>
      <c r="J12" s="7">
        <v>1021</v>
      </c>
      <c r="K12" s="20">
        <f t="shared" si="0"/>
        <v>964.43499999999995</v>
      </c>
      <c r="L12" s="20">
        <f t="shared" si="1"/>
        <v>423.43499999999995</v>
      </c>
      <c r="M12" s="50">
        <f t="shared" si="2"/>
        <v>0.43904980636331115</v>
      </c>
      <c r="N12" s="18">
        <v>0</v>
      </c>
      <c r="O12" s="18">
        <v>383.75</v>
      </c>
      <c r="P12" s="19">
        <v>49.69</v>
      </c>
      <c r="Q12" s="19">
        <v>14.4</v>
      </c>
      <c r="R12" s="19">
        <v>44.13</v>
      </c>
      <c r="S12" s="19">
        <v>48.24</v>
      </c>
      <c r="T12" s="18">
        <v>2.92</v>
      </c>
      <c r="U12" s="19">
        <v>49.69</v>
      </c>
      <c r="V12" s="14">
        <f>P12*I12/100</f>
        <v>268.82289999999995</v>
      </c>
      <c r="W12" s="14">
        <f t="shared" si="3"/>
        <v>268.82289999999995</v>
      </c>
      <c r="X12" s="14">
        <f t="shared" si="4"/>
        <v>1427.4615569999999</v>
      </c>
      <c r="Y12" s="14">
        <f>(O12+((Q12+R12)*I12/100)+V12)-Z12</f>
        <v>446.87659999999994</v>
      </c>
      <c r="Z12" s="14">
        <f>J12*(S12+T12)/100</f>
        <v>522.34360000000004</v>
      </c>
      <c r="AA12" s="14">
        <f t="shared" si="5"/>
        <v>980.58495699999992</v>
      </c>
      <c r="AB12" s="15">
        <f>J12*0.6</f>
        <v>612.6</v>
      </c>
      <c r="AC12" s="14">
        <f t="shared" si="6"/>
        <v>1593.1849569999999</v>
      </c>
      <c r="AD12" s="35">
        <f>AC12/(G12/1000)</f>
        <v>1.1029814128015452</v>
      </c>
      <c r="AE12" s="35">
        <f>(P12+Q12+R12)/100</f>
        <v>1.0822000000000001</v>
      </c>
      <c r="AF12" s="37">
        <v>306</v>
      </c>
    </row>
    <row r="13" spans="1:33" x14ac:dyDescent="0.25">
      <c r="A13" s="2" t="s">
        <v>17</v>
      </c>
      <c r="B13" s="52">
        <v>785</v>
      </c>
      <c r="C13" s="3">
        <v>1288599</v>
      </c>
      <c r="D13" s="3">
        <v>286301</v>
      </c>
      <c r="E13" s="3">
        <v>950187</v>
      </c>
      <c r="F13" s="3">
        <v>338412</v>
      </c>
      <c r="G13" s="3">
        <v>624713</v>
      </c>
      <c r="H13" s="22">
        <f t="shared" si="7"/>
        <v>0.79581273885350312</v>
      </c>
      <c r="I13" s="7">
        <v>953</v>
      </c>
      <c r="J13" s="7">
        <v>286</v>
      </c>
      <c r="K13" s="20">
        <f t="shared" si="0"/>
        <v>1291.713</v>
      </c>
      <c r="L13" s="20">
        <f t="shared" si="1"/>
        <v>338.71299999999997</v>
      </c>
      <c r="M13" s="50">
        <f t="shared" si="2"/>
        <v>0.26222001326920141</v>
      </c>
      <c r="N13" s="18">
        <v>0</v>
      </c>
      <c r="O13" s="18">
        <v>383.75</v>
      </c>
      <c r="P13" s="19">
        <v>35</v>
      </c>
      <c r="Q13" s="19">
        <v>14.4</v>
      </c>
      <c r="R13" s="19">
        <v>44.13</v>
      </c>
      <c r="S13" s="19">
        <v>42.49</v>
      </c>
      <c r="T13" s="18">
        <v>2.92</v>
      </c>
      <c r="U13" s="19">
        <v>35</v>
      </c>
      <c r="V13" s="14">
        <f>P13*I13/100</f>
        <v>333.55</v>
      </c>
      <c r="W13" s="14">
        <f t="shared" si="3"/>
        <v>333.55</v>
      </c>
      <c r="X13" s="14">
        <f t="shared" si="4"/>
        <v>1591.8891689</v>
      </c>
      <c r="Y13" s="14">
        <f>(O13+((Q13+R13)*I13/100)+V13)-Z13</f>
        <v>1145.2183000000002</v>
      </c>
      <c r="Z13" s="14">
        <f>J13*(S13+T13)/100</f>
        <v>129.87260000000001</v>
      </c>
      <c r="AA13" s="14">
        <f t="shared" si="5"/>
        <v>446.67086889999973</v>
      </c>
      <c r="AB13" s="15">
        <f>J13*0.6</f>
        <v>171.6</v>
      </c>
      <c r="AC13" s="14">
        <f t="shared" si="6"/>
        <v>618.27086889999975</v>
      </c>
      <c r="AD13" s="35">
        <f>AC13/(G13/1000)</f>
        <v>0.98968785490297106</v>
      </c>
      <c r="AE13" s="35">
        <f>(P13+Q13+R13)/100</f>
        <v>0.93530000000000002</v>
      </c>
      <c r="AF13" s="37">
        <v>307</v>
      </c>
    </row>
    <row r="14" spans="1:33" x14ac:dyDescent="0.25">
      <c r="A14" s="2" t="s">
        <v>18</v>
      </c>
      <c r="B14" s="52">
        <v>252</v>
      </c>
      <c r="C14" s="53">
        <v>1639463</v>
      </c>
      <c r="D14" s="53">
        <v>39270</v>
      </c>
      <c r="E14" s="53">
        <v>1511986</v>
      </c>
      <c r="F14" s="53">
        <v>127477</v>
      </c>
      <c r="G14" s="53">
        <v>166747</v>
      </c>
      <c r="H14" s="22">
        <f t="shared" si="7"/>
        <v>0.66169444444444447</v>
      </c>
      <c r="I14" s="7">
        <v>1512</v>
      </c>
      <c r="J14" s="7">
        <v>39</v>
      </c>
      <c r="K14" s="20">
        <f t="shared" si="0"/>
        <v>1639.7470000000001</v>
      </c>
      <c r="L14" s="20">
        <f t="shared" si="1"/>
        <v>127.74700000000007</v>
      </c>
      <c r="M14" s="50">
        <f t="shared" si="2"/>
        <v>7.7906530702602325E-2</v>
      </c>
      <c r="N14" s="18">
        <v>0</v>
      </c>
      <c r="O14" s="18">
        <v>383.75</v>
      </c>
      <c r="P14" s="19">
        <v>39.33</v>
      </c>
      <c r="Q14" s="19">
        <v>14.4</v>
      </c>
      <c r="R14" s="19">
        <v>44.13</v>
      </c>
      <c r="S14" s="19">
        <v>34.31</v>
      </c>
      <c r="T14" s="18">
        <v>2.92</v>
      </c>
      <c r="U14" s="19">
        <v>39.33</v>
      </c>
      <c r="V14" s="14">
        <f>P14*I14/100</f>
        <v>594.66959999999995</v>
      </c>
      <c r="W14" s="14">
        <f t="shared" si="3"/>
        <v>594.66959999999995</v>
      </c>
      <c r="X14" s="14">
        <f t="shared" si="4"/>
        <v>1988.4064142</v>
      </c>
      <c r="Y14" s="14">
        <f>(O14+((Q14+R14)*I14/100)+V14)-Z14</f>
        <v>1848.8734999999999</v>
      </c>
      <c r="Z14" s="14">
        <f>J14*(S14+T14)/100</f>
        <v>14.519700000000002</v>
      </c>
      <c r="AA14" s="14">
        <f t="shared" si="5"/>
        <v>139.53291420000005</v>
      </c>
      <c r="AB14" s="15">
        <f>J14*0.6</f>
        <v>23.4</v>
      </c>
      <c r="AC14" s="14">
        <f t="shared" si="6"/>
        <v>162.93291420000006</v>
      </c>
      <c r="AD14" s="35">
        <f>AC14/(G14/1000)</f>
        <v>0.9771265102220732</v>
      </c>
      <c r="AE14" s="35">
        <f>(P14+Q14+R14)/100</f>
        <v>0.97860000000000003</v>
      </c>
      <c r="AF14" s="37">
        <v>308</v>
      </c>
    </row>
    <row r="15" spans="1:33" x14ac:dyDescent="0.25">
      <c r="A15" s="2" t="s">
        <v>19</v>
      </c>
      <c r="B15" s="52">
        <v>129</v>
      </c>
      <c r="C15" s="53">
        <v>1968326</v>
      </c>
      <c r="D15" s="53">
        <v>440</v>
      </c>
      <c r="E15" s="53">
        <v>1943394</v>
      </c>
      <c r="F15" s="53">
        <v>24932</v>
      </c>
      <c r="G15" s="53">
        <v>25372</v>
      </c>
      <c r="H15" s="22">
        <f t="shared" si="7"/>
        <v>0.19668217054263565</v>
      </c>
      <c r="I15" s="7">
        <v>1943</v>
      </c>
      <c r="J15" s="7">
        <v>0.16400000000000001</v>
      </c>
      <c r="K15" s="20">
        <f t="shared" si="0"/>
        <v>1968.2080000000001</v>
      </c>
      <c r="L15" s="20">
        <f t="shared" si="1"/>
        <v>25.208000000000084</v>
      </c>
      <c r="M15" s="50">
        <f t="shared" si="2"/>
        <v>1.2807589441766359E-2</v>
      </c>
      <c r="N15" s="18">
        <v>0</v>
      </c>
      <c r="O15" s="18">
        <v>383.75</v>
      </c>
      <c r="P15" s="19">
        <v>46.06</v>
      </c>
      <c r="Q15" s="19">
        <v>14.4</v>
      </c>
      <c r="R15" s="19">
        <v>44.13</v>
      </c>
      <c r="S15" s="19">
        <v>30.45</v>
      </c>
      <c r="T15" s="18">
        <v>2.92</v>
      </c>
      <c r="U15" s="19">
        <v>46.06</v>
      </c>
      <c r="V15" s="14">
        <f>P15*I15/100</f>
        <v>894.94579999999996</v>
      </c>
      <c r="W15" s="14">
        <f t="shared" si="3"/>
        <v>894.94579999999996</v>
      </c>
      <c r="X15" s="14">
        <f>(K15*(U15+Q15+R15)/100)+N15+O15</f>
        <v>2442.2987472000004</v>
      </c>
      <c r="Y15" s="14">
        <f>(O15+((Q15+R15)*I15/100)+V15)-Z15</f>
        <v>2415.8789732</v>
      </c>
      <c r="Z15" s="14">
        <f>J15*(S15+T15)/100</f>
        <v>5.4726799999999992E-2</v>
      </c>
      <c r="AA15" s="14">
        <f t="shared" si="5"/>
        <v>26.419774000000416</v>
      </c>
      <c r="AB15" s="15">
        <f>J15*0.6</f>
        <v>9.8400000000000001E-2</v>
      </c>
      <c r="AC15" s="14">
        <f>AA15+AB15</f>
        <v>26.518174000000418</v>
      </c>
      <c r="AD15" s="35">
        <f>AC15/(G15/1000)</f>
        <v>1.0451747595775034</v>
      </c>
      <c r="AE15" s="35">
        <f>(P15+Q15+R15)/100</f>
        <v>1.0459000000000001</v>
      </c>
      <c r="AF15" s="37">
        <v>309</v>
      </c>
    </row>
    <row r="16" spans="1:33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8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16978</v>
      </c>
      <c r="C18" s="42">
        <f>SUM(C4:C17)/1000</f>
        <v>8714.6450000000004</v>
      </c>
      <c r="D18" s="42">
        <f>SUM(D4:D17)/1000</f>
        <v>7297.7849999999999</v>
      </c>
      <c r="E18" s="42">
        <f>SUM(E4:E17)/1000</f>
        <v>6173.1940000000004</v>
      </c>
      <c r="F18" s="42">
        <f>SUM(F4:F17)/1000</f>
        <v>2526.422</v>
      </c>
      <c r="G18" s="42">
        <f>SUM(G4:G17)/1000</f>
        <v>9830.7289999999994</v>
      </c>
      <c r="H18" s="42"/>
      <c r="I18" s="43">
        <f t="shared" ref="I18:O18" si="8">SUM(I4:I15)</f>
        <v>16064</v>
      </c>
      <c r="J18" s="43">
        <f t="shared" si="8"/>
        <v>7084.1639999999998</v>
      </c>
      <c r="K18" s="43">
        <f t="shared" si="8"/>
        <v>18810.564999999999</v>
      </c>
      <c r="L18" s="43">
        <f t="shared" si="8"/>
        <v>2746.5650000000001</v>
      </c>
      <c r="M18" s="51">
        <f t="shared" si="2"/>
        <v>0.14601182899078258</v>
      </c>
      <c r="N18" s="43">
        <f t="shared" si="8"/>
        <v>0</v>
      </c>
      <c r="O18" s="44">
        <f t="shared" si="8"/>
        <v>4605</v>
      </c>
      <c r="P18" s="44">
        <f>AVERAGE(P4:P15)</f>
        <v>33.787500000000001</v>
      </c>
      <c r="Q18" s="44">
        <f>AVERAGE(Q4:Q15)</f>
        <v>14.400000000000004</v>
      </c>
      <c r="R18" s="44">
        <f>AVERAGE(R4:R15)</f>
        <v>44.13</v>
      </c>
      <c r="S18" s="44">
        <f>AVERAGE(S4:S15)</f>
        <v>39.604285714285716</v>
      </c>
      <c r="T18" s="44">
        <f>AVERAGE(T4:T15)</f>
        <v>2.9199999999999995</v>
      </c>
      <c r="U18" s="44"/>
      <c r="V18" s="44">
        <f t="shared" ref="V18:AC18" si="9">SUM(V4:V15)</f>
        <v>2457.1662999999999</v>
      </c>
      <c r="W18" s="44">
        <f t="shared" si="9"/>
        <v>2457.1662999999999</v>
      </c>
      <c r="X18" s="44">
        <f t="shared" si="9"/>
        <v>11265.628311100001</v>
      </c>
      <c r="Y18" s="44">
        <f t="shared" si="9"/>
        <v>5495.9666732000005</v>
      </c>
      <c r="Z18" s="44">
        <f t="shared" si="9"/>
        <v>3141.1053268000001</v>
      </c>
      <c r="AA18" s="44">
        <f t="shared" si="9"/>
        <v>5769.6616379000006</v>
      </c>
      <c r="AB18" s="44">
        <f t="shared" si="9"/>
        <v>4250.4983999999995</v>
      </c>
      <c r="AC18" s="44">
        <f t="shared" si="9"/>
        <v>10020.160037900001</v>
      </c>
      <c r="AD18" s="45"/>
      <c r="AE18" s="45">
        <f>AVERAGE(AE9:AE15)</f>
        <v>0.97830000000000006</v>
      </c>
      <c r="AF18" s="44">
        <f>SUM(AF4:AF15)</f>
        <v>2142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56"/>
      <c r="Y20" s="56">
        <f>Y18-AB18</f>
        <v>1245.468273200001</v>
      </c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0" t="s">
        <v>58</v>
      </c>
      <c r="P21" s="60"/>
      <c r="Q21" s="6"/>
      <c r="R21" s="6"/>
      <c r="S21" s="6"/>
      <c r="T21" s="6"/>
      <c r="U21" s="6"/>
      <c r="V21" s="6"/>
    </row>
    <row r="22" spans="1:32" ht="17.25" thickTop="1" thickBot="1" x14ac:dyDescent="0.3">
      <c r="C22" s="47">
        <f>G18</f>
        <v>9830.7289999999994</v>
      </c>
      <c r="D22" s="47">
        <f>J18</f>
        <v>7084.1639999999998</v>
      </c>
      <c r="E22" s="47">
        <f>I18</f>
        <v>16064</v>
      </c>
      <c r="F22" s="47">
        <f>K18</f>
        <v>18810.564999999999</v>
      </c>
      <c r="G22" s="47">
        <f>L18</f>
        <v>2746.5650000000001</v>
      </c>
      <c r="H22" t="s">
        <v>0</v>
      </c>
      <c r="I22" s="6"/>
      <c r="J22" s="6"/>
      <c r="K22" s="34">
        <v>0</v>
      </c>
      <c r="L22" s="6"/>
      <c r="M22" s="6"/>
      <c r="N22" s="6"/>
      <c r="O22" s="61">
        <f>G24/(G18)</f>
        <v>1.0192692767647242</v>
      </c>
      <c r="P22" s="61"/>
      <c r="Q22" s="6"/>
      <c r="R22" s="6"/>
      <c r="S22" s="6"/>
      <c r="T22" s="6"/>
      <c r="U22" s="6"/>
      <c r="V22" s="57"/>
      <c r="W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59</v>
      </c>
    </row>
    <row r="24" spans="1:32" ht="21" x14ac:dyDescent="0.35">
      <c r="C24" s="26" t="s">
        <v>49</v>
      </c>
      <c r="D24" s="27"/>
      <c r="E24" s="27"/>
      <c r="F24" s="27"/>
      <c r="G24" s="49">
        <f>AC18+K22</f>
        <v>10020.160037900001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51</v>
      </c>
      <c r="D27" s="1"/>
      <c r="E27" s="1"/>
      <c r="F27" s="1"/>
      <c r="G27" s="48">
        <f>G24-AE18</f>
        <v>10019.1817379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C1:H1"/>
    <mergeCell ref="C2:H2"/>
    <mergeCell ref="I1:J1"/>
    <mergeCell ref="N1:T1"/>
    <mergeCell ref="N2:T2"/>
    <mergeCell ref="O21:P21"/>
    <mergeCell ref="O22:P22"/>
    <mergeCell ref="I2:J2"/>
    <mergeCell ref="X1:AE1"/>
    <mergeCell ref="X2:AE2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0279-7320-4E8B-8CBE-9D26D6E82614}">
  <dimension ref="A1:AH28"/>
  <sheetViews>
    <sheetView topLeftCell="Q1" workbookViewId="0">
      <selection activeCell="Y20" sqref="Y20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5703125" customWidth="1"/>
    <col min="22" max="23" width="10.85546875" customWidth="1"/>
    <col min="24" max="24" width="11.7109375" customWidth="1"/>
    <col min="25" max="25" width="10.28515625" customWidth="1"/>
    <col min="26" max="27" width="11" customWidth="1"/>
    <col min="28" max="28" width="10" bestFit="1" customWidth="1"/>
    <col min="29" max="29" width="13.28515625" bestFit="1" customWidth="1"/>
    <col min="30" max="31" width="15.85546875" customWidth="1"/>
    <col min="32" max="32" width="11.85546875" customWidth="1"/>
  </cols>
  <sheetData>
    <row r="1" spans="1:34" x14ac:dyDescent="0.25">
      <c r="A1" s="10">
        <v>2021</v>
      </c>
      <c r="B1" s="10"/>
      <c r="C1" s="62" t="s">
        <v>1</v>
      </c>
      <c r="D1" s="62"/>
      <c r="E1" s="62"/>
      <c r="F1" s="62"/>
      <c r="G1" s="62"/>
      <c r="H1" s="62"/>
      <c r="I1" s="62" t="s">
        <v>2</v>
      </c>
      <c r="J1" s="62"/>
      <c r="K1" s="4"/>
      <c r="L1" s="4"/>
      <c r="M1" s="4"/>
      <c r="N1" s="62" t="s">
        <v>24</v>
      </c>
      <c r="O1" s="62"/>
      <c r="P1" s="62"/>
      <c r="Q1" s="62"/>
      <c r="R1" s="62"/>
      <c r="S1" s="62"/>
      <c r="T1" s="62"/>
      <c r="U1" s="58" t="s">
        <v>68</v>
      </c>
      <c r="V1" s="54"/>
      <c r="W1" s="58"/>
      <c r="X1" s="62" t="s">
        <v>52</v>
      </c>
      <c r="Y1" s="62"/>
      <c r="Z1" s="62"/>
      <c r="AA1" s="62"/>
      <c r="AB1" s="62"/>
      <c r="AC1" s="62"/>
      <c r="AD1" s="62"/>
      <c r="AE1" s="62"/>
    </row>
    <row r="2" spans="1:34" x14ac:dyDescent="0.25">
      <c r="C2" s="63" t="s">
        <v>20</v>
      </c>
      <c r="D2" s="63"/>
      <c r="E2" s="63"/>
      <c r="F2" s="63"/>
      <c r="G2" s="63"/>
      <c r="H2" s="63"/>
      <c r="I2" s="63" t="s">
        <v>54</v>
      </c>
      <c r="J2" s="63"/>
      <c r="N2" s="63" t="s">
        <v>32</v>
      </c>
      <c r="O2" s="63"/>
      <c r="P2" s="63"/>
      <c r="Q2" s="63"/>
      <c r="R2" s="63"/>
      <c r="S2" s="63"/>
      <c r="T2" s="63"/>
      <c r="U2" s="64" t="s">
        <v>67</v>
      </c>
      <c r="V2" s="55"/>
      <c r="W2" s="59"/>
      <c r="X2" s="63" t="s">
        <v>53</v>
      </c>
      <c r="Y2" s="63"/>
      <c r="Z2" s="63"/>
      <c r="AA2" s="63"/>
      <c r="AB2" s="63"/>
      <c r="AC2" s="63"/>
      <c r="AD2" s="63"/>
      <c r="AE2" s="63"/>
    </row>
    <row r="3" spans="1:34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6"/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  <c r="AH3" s="11"/>
    </row>
    <row r="4" spans="1:34" x14ac:dyDescent="0.25">
      <c r="A4" s="2" t="s">
        <v>8</v>
      </c>
      <c r="B4" s="21">
        <v>231</v>
      </c>
      <c r="C4" s="3">
        <v>2082623</v>
      </c>
      <c r="D4" s="3">
        <v>3461</v>
      </c>
      <c r="E4" s="3">
        <v>2042264</v>
      </c>
      <c r="F4" s="3">
        <v>40458</v>
      </c>
      <c r="G4" s="3">
        <v>43820</v>
      </c>
      <c r="H4" s="22">
        <f>(G4/1000)/B4</f>
        <v>0.1896969696969697</v>
      </c>
      <c r="I4" s="7">
        <v>2044</v>
      </c>
      <c r="J4" s="7">
        <v>3</v>
      </c>
      <c r="K4" s="20">
        <f t="shared" ref="K4:K5" si="0">(G4/1000)+I4-J4</f>
        <v>2084.8200000000002</v>
      </c>
      <c r="L4" s="20">
        <f>K4-I4</f>
        <v>40.820000000000164</v>
      </c>
      <c r="M4" s="50">
        <f>L4/K4</f>
        <v>1.9579627977475349E-2</v>
      </c>
      <c r="N4" s="18">
        <v>0</v>
      </c>
      <c r="O4" s="18">
        <v>383.75</v>
      </c>
      <c r="P4" s="19">
        <v>68.3</v>
      </c>
      <c r="Q4" s="19">
        <v>14.4</v>
      </c>
      <c r="R4" s="19">
        <v>44.5</v>
      </c>
      <c r="S4" s="19">
        <v>40.700000000000003</v>
      </c>
      <c r="T4" s="19">
        <v>2.92</v>
      </c>
      <c r="U4" s="19">
        <v>68.3</v>
      </c>
      <c r="V4" s="14">
        <f>P4*I4/100</f>
        <v>1396.0519999999999</v>
      </c>
      <c r="W4" s="14">
        <f>U4*I4/100</f>
        <v>1396.0519999999999</v>
      </c>
      <c r="X4" s="14">
        <f t="shared" ref="X4:X14" si="1">(K4*(U4+Q4+R4)/100)+N4+O4</f>
        <v>3035.6410400000004</v>
      </c>
      <c r="Y4" s="14">
        <f>(O4+((Q4+R4)*I4/100)+V4)-Z4</f>
        <v>2982.4094</v>
      </c>
      <c r="Z4" s="14">
        <f>J4*(S4+T4)/100</f>
        <v>1.3086000000000002</v>
      </c>
      <c r="AA4" s="14">
        <f t="shared" ref="AA4" si="2">X4-Y4</f>
        <v>53.231640000000425</v>
      </c>
      <c r="AB4" s="15">
        <f>J4*0.6</f>
        <v>1.7999999999999998</v>
      </c>
      <c r="AC4" s="14">
        <f t="shared" ref="AC4:AC6" si="3">AA4+AB4</f>
        <v>55.031640000000422</v>
      </c>
      <c r="AD4" s="35">
        <f>AC4/(G4/1000)</f>
        <v>1.2558566864445555</v>
      </c>
      <c r="AE4" s="35">
        <f>(P4+Q4+R4)/100</f>
        <v>1.272</v>
      </c>
      <c r="AF4" s="37">
        <v>300</v>
      </c>
    </row>
    <row r="5" spans="1:34" x14ac:dyDescent="0.25">
      <c r="A5" s="2" t="s">
        <v>9</v>
      </c>
      <c r="B5" s="21">
        <v>574</v>
      </c>
      <c r="C5" s="3">
        <v>1446028</v>
      </c>
      <c r="D5" s="3">
        <v>39849</v>
      </c>
      <c r="E5" s="3">
        <v>1054184</v>
      </c>
      <c r="F5" s="3">
        <v>391844</v>
      </c>
      <c r="G5" s="3">
        <v>431693</v>
      </c>
      <c r="H5" s="22">
        <f t="shared" ref="H5:H15" si="4">(G5/1000)/B5</f>
        <v>0.75207839721254355</v>
      </c>
      <c r="I5" s="7">
        <v>1052</v>
      </c>
      <c r="J5" s="7">
        <v>37</v>
      </c>
      <c r="K5" s="20">
        <f t="shared" si="0"/>
        <v>1446.693</v>
      </c>
      <c r="L5" s="20">
        <f>K5-I5</f>
        <v>394.69299999999998</v>
      </c>
      <c r="M5" s="50">
        <f>L5/K5</f>
        <v>0.27282429651626156</v>
      </c>
      <c r="N5" s="18">
        <v>0</v>
      </c>
      <c r="O5" s="18">
        <v>383.75</v>
      </c>
      <c r="P5" s="19">
        <v>76.540000000000006</v>
      </c>
      <c r="Q5" s="19">
        <v>14.4</v>
      </c>
      <c r="R5" s="19">
        <v>44.5</v>
      </c>
      <c r="S5" s="19">
        <v>70.239999999999995</v>
      </c>
      <c r="T5" s="19">
        <v>2.92</v>
      </c>
      <c r="U5" s="19">
        <v>76.540000000000006</v>
      </c>
      <c r="V5" s="14">
        <f>P5*I5/100</f>
        <v>805.20080000000007</v>
      </c>
      <c r="W5" s="14">
        <f t="shared" ref="W5:W15" si="5">U5*I5/100</f>
        <v>805.20080000000007</v>
      </c>
      <c r="X5" s="14">
        <f t="shared" si="1"/>
        <v>2343.1509992000001</v>
      </c>
      <c r="Y5" s="14">
        <f>(O5+((Q5+R5)*I5/100)+V5)-Z5</f>
        <v>1781.5096000000001</v>
      </c>
      <c r="Z5" s="14">
        <f>J5*(S5+T5)/100</f>
        <v>27.069200000000002</v>
      </c>
      <c r="AA5" s="14">
        <f t="shared" ref="AA5" si="6">X5-Y5</f>
        <v>561.64139920000002</v>
      </c>
      <c r="AB5" s="15">
        <f>J5*0.6</f>
        <v>22.2</v>
      </c>
      <c r="AC5" s="14">
        <f t="shared" si="3"/>
        <v>583.84139920000007</v>
      </c>
      <c r="AD5" s="35">
        <f>AC5/(G5/1000)</f>
        <v>1.3524458334974161</v>
      </c>
      <c r="AE5" s="35">
        <f>(P5+Q5+R5)/100</f>
        <v>1.3544</v>
      </c>
      <c r="AF5" s="37">
        <v>300</v>
      </c>
    </row>
    <row r="6" spans="1:34" x14ac:dyDescent="0.25">
      <c r="A6" s="2" t="s">
        <v>10</v>
      </c>
      <c r="B6" s="21">
        <v>1388</v>
      </c>
      <c r="C6" s="3">
        <v>1222280</v>
      </c>
      <c r="D6" s="3">
        <v>284720</v>
      </c>
      <c r="E6" s="3">
        <v>216855</v>
      </c>
      <c r="F6" s="3">
        <v>1005425</v>
      </c>
      <c r="G6" s="3">
        <v>1290145</v>
      </c>
      <c r="H6" s="22">
        <f t="shared" si="4"/>
        <v>0.92949927953890488</v>
      </c>
      <c r="I6" s="7">
        <v>211</v>
      </c>
      <c r="J6" s="7">
        <v>282</v>
      </c>
      <c r="K6" s="20">
        <f t="shared" ref="K6" si="7">(G6/1000)+I6-J6</f>
        <v>1219.145</v>
      </c>
      <c r="L6" s="20">
        <f>K6-I6</f>
        <v>1008.145</v>
      </c>
      <c r="M6" s="50">
        <f>L6/K6</f>
        <v>0.82692788798707295</v>
      </c>
      <c r="N6" s="18">
        <v>0</v>
      </c>
      <c r="O6" s="18">
        <v>383.75</v>
      </c>
      <c r="P6" s="19">
        <v>52.71</v>
      </c>
      <c r="Q6" s="19">
        <v>14.4</v>
      </c>
      <c r="R6" s="19">
        <v>44.5</v>
      </c>
      <c r="S6" s="19">
        <v>47.77</v>
      </c>
      <c r="T6" s="19">
        <v>2.92</v>
      </c>
      <c r="U6" s="19">
        <v>52.71</v>
      </c>
      <c r="V6" s="14">
        <f>P6*I6/100</f>
        <v>111.21809999999999</v>
      </c>
      <c r="W6" s="14">
        <f t="shared" si="5"/>
        <v>111.21809999999999</v>
      </c>
      <c r="X6" s="14">
        <f t="shared" si="1"/>
        <v>1744.4377345</v>
      </c>
      <c r="Y6" s="14">
        <f>(O6+((Q6+R6)*I6/100)+V6)-Z6</f>
        <v>476.30130000000003</v>
      </c>
      <c r="Z6" s="14">
        <f>J6*(S6+T6)/100</f>
        <v>142.94580000000002</v>
      </c>
      <c r="AA6" s="14">
        <f t="shared" ref="AA6" si="8">X6-Y6</f>
        <v>1268.1364345</v>
      </c>
      <c r="AB6" s="15">
        <f>J6*0.6</f>
        <v>169.2</v>
      </c>
      <c r="AC6" s="14">
        <f t="shared" si="3"/>
        <v>1437.3364345</v>
      </c>
      <c r="AD6" s="35">
        <f>AC6/(G6/1000)</f>
        <v>1.114089063244829</v>
      </c>
      <c r="AE6" s="35">
        <f>(P6+Q6+R6)/100</f>
        <v>1.1161000000000001</v>
      </c>
      <c r="AF6" s="37">
        <v>300</v>
      </c>
    </row>
    <row r="7" spans="1:34" x14ac:dyDescent="0.25">
      <c r="A7" s="2" t="s">
        <v>11</v>
      </c>
      <c r="B7" s="21">
        <v>2267</v>
      </c>
      <c r="C7" s="3">
        <v>1324017</v>
      </c>
      <c r="D7" s="3">
        <v>1045140</v>
      </c>
      <c r="E7" s="3">
        <v>16780</v>
      </c>
      <c r="F7" s="3">
        <v>1307237</v>
      </c>
      <c r="G7" s="3">
        <v>2352377</v>
      </c>
      <c r="H7" s="22">
        <f t="shared" si="4"/>
        <v>1.0376607851786501</v>
      </c>
      <c r="I7" s="7">
        <v>10.7</v>
      </c>
      <c r="J7" s="7">
        <v>1044</v>
      </c>
      <c r="K7" s="20">
        <f t="shared" ref="K7:K15" si="9">(G7/1000)+I7-J7</f>
        <v>1319.0769999999998</v>
      </c>
      <c r="L7" s="20">
        <f t="shared" ref="L7:L15" si="10">K7-I7</f>
        <v>1308.3769999999997</v>
      </c>
      <c r="M7" s="50">
        <f t="shared" ref="M7:M15" si="11">L7/K7</f>
        <v>0.99188826732631985</v>
      </c>
      <c r="N7" s="18">
        <v>0</v>
      </c>
      <c r="O7" s="18">
        <v>383.75</v>
      </c>
      <c r="P7" s="19">
        <v>47.24</v>
      </c>
      <c r="Q7" s="19">
        <v>14.4</v>
      </c>
      <c r="R7" s="19">
        <v>44.5</v>
      </c>
      <c r="S7" s="19">
        <v>47.28</v>
      </c>
      <c r="T7" s="19">
        <v>2.92</v>
      </c>
      <c r="U7" s="19">
        <v>47.24</v>
      </c>
      <c r="V7" s="14">
        <f>P7*I7/100</f>
        <v>5.0546799999999994</v>
      </c>
      <c r="W7" s="14">
        <f t="shared" si="5"/>
        <v>5.0546799999999994</v>
      </c>
      <c r="X7" s="14">
        <f t="shared" si="1"/>
        <v>1783.8183277999997</v>
      </c>
      <c r="Y7" s="14">
        <f>(O7+((Q7+R7)*I7/100)+V7)-Z7</f>
        <v>-128.98102000000006</v>
      </c>
      <c r="Z7" s="14">
        <f>J7*(S7+T7)/100</f>
        <v>524.08800000000008</v>
      </c>
      <c r="AA7" s="14">
        <f t="shared" ref="AA7:AA15" si="12">X7-Y7</f>
        <v>1912.7993477999999</v>
      </c>
      <c r="AB7" s="15">
        <f>J7*0.6</f>
        <v>626.4</v>
      </c>
      <c r="AC7" s="14">
        <f>AA7+AB7</f>
        <v>2539.1993477999999</v>
      </c>
      <c r="AD7" s="35">
        <f>AC7/(G7/1000)</f>
        <v>1.0794185403955234</v>
      </c>
      <c r="AE7" s="35">
        <f>(P7+Q7+R7)/100</f>
        <v>1.0613999999999999</v>
      </c>
      <c r="AF7" s="37">
        <v>301</v>
      </c>
    </row>
    <row r="8" spans="1:34" x14ac:dyDescent="0.25">
      <c r="A8" s="2" t="s">
        <v>12</v>
      </c>
      <c r="B8" s="21">
        <v>3186</v>
      </c>
      <c r="C8" s="3">
        <v>1192209</v>
      </c>
      <c r="D8" s="3">
        <v>1428319</v>
      </c>
      <c r="E8" s="3">
        <v>85552</v>
      </c>
      <c r="F8" s="3">
        <v>1106657</v>
      </c>
      <c r="G8" s="3">
        <v>2534976</v>
      </c>
      <c r="H8" s="22">
        <f t="shared" si="4"/>
        <v>0.79566101694915259</v>
      </c>
      <c r="I8" s="7">
        <v>80.599999999999994</v>
      </c>
      <c r="J8" s="7">
        <v>1426</v>
      </c>
      <c r="K8" s="20">
        <f t="shared" si="9"/>
        <v>1189.576</v>
      </c>
      <c r="L8" s="20">
        <f t="shared" si="10"/>
        <v>1108.9760000000001</v>
      </c>
      <c r="M8" s="50">
        <f t="shared" si="11"/>
        <v>0.9322447662024117</v>
      </c>
      <c r="N8" s="18">
        <v>0</v>
      </c>
      <c r="O8" s="18">
        <v>383.75</v>
      </c>
      <c r="P8" s="19">
        <v>51.96</v>
      </c>
      <c r="Q8" s="19">
        <v>14.4</v>
      </c>
      <c r="R8" s="19">
        <v>44.5</v>
      </c>
      <c r="S8" s="19">
        <v>54.38</v>
      </c>
      <c r="T8" s="19">
        <v>2.92</v>
      </c>
      <c r="U8" s="19">
        <v>62.99</v>
      </c>
      <c r="V8" s="14">
        <f>P8*I8/100</f>
        <v>41.879759999999997</v>
      </c>
      <c r="W8" s="14">
        <f t="shared" si="5"/>
        <v>50.769939999999998</v>
      </c>
      <c r="X8" s="14">
        <f t="shared" si="1"/>
        <v>1833.7241863999998</v>
      </c>
      <c r="Y8" s="14">
        <f>(O8+((Q8+R8)*I8/100)+V8)-Z8</f>
        <v>-343.99484000000012</v>
      </c>
      <c r="Z8" s="14">
        <f>J8*(S8+T8)/100</f>
        <v>817.09800000000007</v>
      </c>
      <c r="AA8" s="14">
        <f t="shared" si="12"/>
        <v>2177.7190264000001</v>
      </c>
      <c r="AB8" s="15">
        <f>J8*0.6</f>
        <v>855.6</v>
      </c>
      <c r="AC8" s="14">
        <f t="shared" ref="AC8:AC15" si="13">AA8+AB8</f>
        <v>3033.3190264</v>
      </c>
      <c r="AD8" s="35">
        <f>AC8/(G8/1000)</f>
        <v>1.1965868814537099</v>
      </c>
      <c r="AE8" s="35">
        <f>(P8+Q8+R8)/100</f>
        <v>1.1086</v>
      </c>
      <c r="AF8" s="37">
        <v>302</v>
      </c>
    </row>
    <row r="9" spans="1:34" x14ac:dyDescent="0.25">
      <c r="A9" s="2" t="s">
        <v>13</v>
      </c>
      <c r="B9" s="21">
        <v>3105</v>
      </c>
      <c r="C9" s="3">
        <v>1218011</v>
      </c>
      <c r="D9" s="3">
        <v>2099851</v>
      </c>
      <c r="E9" s="3">
        <v>13619</v>
      </c>
      <c r="F9" s="3">
        <v>1204392</v>
      </c>
      <c r="G9" s="3">
        <v>3304243</v>
      </c>
      <c r="H9" s="22">
        <f t="shared" si="4"/>
        <v>1.0641684380032206</v>
      </c>
      <c r="I9" s="7">
        <v>9.3000000000000007</v>
      </c>
      <c r="J9" s="7">
        <v>2095</v>
      </c>
      <c r="K9" s="20">
        <f t="shared" si="9"/>
        <v>1218.5430000000001</v>
      </c>
      <c r="L9" s="20">
        <f t="shared" si="10"/>
        <v>1209.2430000000002</v>
      </c>
      <c r="M9" s="50">
        <f t="shared" si="11"/>
        <v>0.99236793449225846</v>
      </c>
      <c r="N9" s="18">
        <v>0</v>
      </c>
      <c r="O9" s="18">
        <v>383.75</v>
      </c>
      <c r="P9" s="19">
        <v>52.37</v>
      </c>
      <c r="Q9" s="19">
        <v>14.4</v>
      </c>
      <c r="R9" s="19">
        <v>44.5</v>
      </c>
      <c r="S9" s="19">
        <v>56.62</v>
      </c>
      <c r="T9" s="19">
        <v>2.92</v>
      </c>
      <c r="U9" s="19">
        <v>58.5</v>
      </c>
      <c r="V9" s="14">
        <f>P9*I9/100</f>
        <v>4.8704099999999997</v>
      </c>
      <c r="W9" s="14">
        <f t="shared" si="5"/>
        <v>5.440500000000001</v>
      </c>
      <c r="X9" s="14">
        <f t="shared" si="1"/>
        <v>1814.3194820000001</v>
      </c>
      <c r="Y9" s="14">
        <f>(O9+((Q9+R9)*I9/100)+V9)-Z9</f>
        <v>-853.26489000000004</v>
      </c>
      <c r="Z9" s="14">
        <f>J9*(S9+T9)/100</f>
        <v>1247.3630000000001</v>
      </c>
      <c r="AA9" s="14">
        <f t="shared" si="12"/>
        <v>2667.5843720000003</v>
      </c>
      <c r="AB9" s="15">
        <f>J9*0.6</f>
        <v>1257</v>
      </c>
      <c r="AC9" s="14">
        <f t="shared" si="13"/>
        <v>3924.5843720000003</v>
      </c>
      <c r="AD9" s="35">
        <f>AC9/(G9/1000)</f>
        <v>1.1877408447260085</v>
      </c>
      <c r="AE9" s="35">
        <f>(P9+Q9+R9)/100</f>
        <v>1.1127</v>
      </c>
      <c r="AF9" s="37">
        <v>303</v>
      </c>
    </row>
    <row r="10" spans="1:34" x14ac:dyDescent="0.25">
      <c r="A10" s="2" t="s">
        <v>14</v>
      </c>
      <c r="B10" s="21">
        <v>3001</v>
      </c>
      <c r="C10" s="3">
        <v>1236827</v>
      </c>
      <c r="D10" s="3">
        <v>2014239</v>
      </c>
      <c r="E10" s="3">
        <v>15290</v>
      </c>
      <c r="F10" s="3">
        <v>1221537</v>
      </c>
      <c r="G10" s="3">
        <v>3235776</v>
      </c>
      <c r="H10" s="22">
        <f t="shared" si="4"/>
        <v>1.0782325891369542</v>
      </c>
      <c r="I10" s="7">
        <v>10.6</v>
      </c>
      <c r="J10" s="7">
        <v>2008</v>
      </c>
      <c r="K10" s="20">
        <f t="shared" si="9"/>
        <v>1238.3759999999997</v>
      </c>
      <c r="L10" s="20">
        <f t="shared" si="10"/>
        <v>1227.7759999999998</v>
      </c>
      <c r="M10" s="50">
        <f t="shared" si="11"/>
        <v>0.99144040259178157</v>
      </c>
      <c r="N10" s="18">
        <v>0</v>
      </c>
      <c r="O10" s="18">
        <v>383.75</v>
      </c>
      <c r="P10" s="19">
        <v>80.39</v>
      </c>
      <c r="Q10" s="19">
        <v>14.4</v>
      </c>
      <c r="R10" s="19">
        <v>44.5</v>
      </c>
      <c r="S10" s="19">
        <v>74.88</v>
      </c>
      <c r="T10" s="19">
        <v>2.92</v>
      </c>
      <c r="U10" s="19">
        <v>82.1</v>
      </c>
      <c r="V10" s="14">
        <f>P10*I10/100</f>
        <v>8.5213400000000004</v>
      </c>
      <c r="W10" s="14">
        <f t="shared" si="5"/>
        <v>8.7025999999999986</v>
      </c>
      <c r="X10" s="14">
        <f t="shared" si="1"/>
        <v>2129.8601599999997</v>
      </c>
      <c r="Y10" s="14">
        <f>(O10+((Q10+R10)*I10/100)+V10)-Z10</f>
        <v>-1163.7092599999999</v>
      </c>
      <c r="Z10" s="14">
        <f>J10*(S10+T10)/100</f>
        <v>1562.2239999999999</v>
      </c>
      <c r="AA10" s="14">
        <f t="shared" si="12"/>
        <v>3293.5694199999998</v>
      </c>
      <c r="AB10" s="15">
        <f>J10*0.6</f>
        <v>1204.8</v>
      </c>
      <c r="AC10" s="14">
        <f t="shared" si="13"/>
        <v>4498.36942</v>
      </c>
      <c r="AD10" s="35">
        <f>AC10/(G10/1000)</f>
        <v>1.3901980297770922</v>
      </c>
      <c r="AE10" s="35">
        <f>(P10+Q10+R10)/100</f>
        <v>1.3929000000000002</v>
      </c>
      <c r="AF10" s="37">
        <v>304</v>
      </c>
    </row>
    <row r="11" spans="1:34" x14ac:dyDescent="0.25">
      <c r="A11" s="2" t="s">
        <v>15</v>
      </c>
      <c r="B11" s="21">
        <v>2483</v>
      </c>
      <c r="C11" s="3">
        <v>1107403</v>
      </c>
      <c r="D11" s="3">
        <v>976998</v>
      </c>
      <c r="E11" s="3">
        <v>88302</v>
      </c>
      <c r="F11" s="3">
        <v>1019101</v>
      </c>
      <c r="G11" s="3">
        <v>1996099</v>
      </c>
      <c r="H11" s="22">
        <f t="shared" si="4"/>
        <v>0.80390616190092623</v>
      </c>
      <c r="I11" s="7">
        <v>83.1</v>
      </c>
      <c r="J11" s="7">
        <v>974</v>
      </c>
      <c r="K11" s="20">
        <f t="shared" si="9"/>
        <v>1105.1990000000001</v>
      </c>
      <c r="L11" s="20">
        <f t="shared" si="10"/>
        <v>1022.099</v>
      </c>
      <c r="M11" s="50">
        <f t="shared" si="11"/>
        <v>0.9248099211092301</v>
      </c>
      <c r="N11" s="18">
        <v>0</v>
      </c>
      <c r="O11" s="18">
        <v>396.25</v>
      </c>
      <c r="P11" s="19">
        <v>72.23</v>
      </c>
      <c r="Q11" s="19">
        <v>14.9</v>
      </c>
      <c r="R11" s="19">
        <v>44.5</v>
      </c>
      <c r="S11" s="19">
        <v>85.12</v>
      </c>
      <c r="T11" s="19">
        <v>2.92</v>
      </c>
      <c r="U11" s="19">
        <v>92.79</v>
      </c>
      <c r="V11" s="14">
        <f>P11*I11/100</f>
        <v>60.023130000000002</v>
      </c>
      <c r="W11" s="14">
        <f t="shared" si="5"/>
        <v>77.108490000000003</v>
      </c>
      <c r="X11" s="14">
        <f t="shared" si="1"/>
        <v>2078.2523581</v>
      </c>
      <c r="Y11" s="14">
        <f>(O11+((Q11+R11)*I11/100)+V11)-Z11</f>
        <v>-351.87507000000011</v>
      </c>
      <c r="Z11" s="14">
        <f>J11*(S11+T11)/100</f>
        <v>857.50960000000009</v>
      </c>
      <c r="AA11" s="14">
        <f t="shared" si="12"/>
        <v>2430.1274281000001</v>
      </c>
      <c r="AB11" s="15">
        <f>J11*0.6</f>
        <v>584.4</v>
      </c>
      <c r="AC11" s="14">
        <f t="shared" si="13"/>
        <v>3014.5274281000002</v>
      </c>
      <c r="AD11" s="35">
        <f>AC11/(G11/1000)</f>
        <v>1.5102093774406982</v>
      </c>
      <c r="AE11" s="35">
        <f>(P11+Q11+R11)/100</f>
        <v>1.3163</v>
      </c>
      <c r="AF11" s="37">
        <v>305</v>
      </c>
    </row>
    <row r="12" spans="1:34" x14ac:dyDescent="0.25">
      <c r="A12" s="2" t="s">
        <v>16</v>
      </c>
      <c r="B12" s="52">
        <v>1649</v>
      </c>
      <c r="C12" s="3">
        <v>1084226</v>
      </c>
      <c r="D12" s="3">
        <v>545629</v>
      </c>
      <c r="E12" s="3">
        <v>252161</v>
      </c>
      <c r="F12" s="3">
        <v>832065</v>
      </c>
      <c r="G12" s="3">
        <v>1377694</v>
      </c>
      <c r="H12" s="22">
        <f t="shared" si="4"/>
        <v>0.83547240751970886</v>
      </c>
      <c r="I12" s="7">
        <v>248</v>
      </c>
      <c r="J12" s="7">
        <v>544</v>
      </c>
      <c r="K12" s="20">
        <f t="shared" si="9"/>
        <v>1081.694</v>
      </c>
      <c r="L12" s="20">
        <f t="shared" si="10"/>
        <v>833.69399999999996</v>
      </c>
      <c r="M12" s="50">
        <f t="shared" si="11"/>
        <v>0.77072998463521103</v>
      </c>
      <c r="N12" s="18">
        <v>0</v>
      </c>
      <c r="O12" s="18">
        <v>396.25</v>
      </c>
      <c r="P12" s="19">
        <v>78.150000000000006</v>
      </c>
      <c r="Q12" s="19">
        <v>14.9</v>
      </c>
      <c r="R12" s="19">
        <v>44.5</v>
      </c>
      <c r="S12" s="19">
        <v>118.13</v>
      </c>
      <c r="T12" s="19">
        <v>2.92</v>
      </c>
      <c r="U12" s="19">
        <v>125.71</v>
      </c>
      <c r="V12" s="14">
        <f>P12*I12/100</f>
        <v>193.81200000000001</v>
      </c>
      <c r="W12" s="14">
        <f t="shared" si="5"/>
        <v>311.76079999999996</v>
      </c>
      <c r="X12" s="14">
        <f t="shared" si="1"/>
        <v>2398.5737633999997</v>
      </c>
      <c r="Y12" s="14">
        <f>(O12+((Q12+R12)*I12/100)+V12)-Z12</f>
        <v>78.86200000000008</v>
      </c>
      <c r="Z12" s="14">
        <f>J12*(S12+T12)/100</f>
        <v>658.51199999999994</v>
      </c>
      <c r="AA12" s="14">
        <f t="shared" si="12"/>
        <v>2319.7117633999997</v>
      </c>
      <c r="AB12" s="15">
        <f>J12*0.6</f>
        <v>326.39999999999998</v>
      </c>
      <c r="AC12" s="14">
        <f t="shared" si="13"/>
        <v>2646.1117633999997</v>
      </c>
      <c r="AD12" s="35">
        <f>AC12/(G12/1000)</f>
        <v>1.9206817794081994</v>
      </c>
      <c r="AE12" s="35">
        <f>(P12+Q12+R12)/100</f>
        <v>1.3755000000000002</v>
      </c>
      <c r="AF12" s="37">
        <v>306</v>
      </c>
    </row>
    <row r="13" spans="1:34" x14ac:dyDescent="0.25">
      <c r="A13" s="2" t="s">
        <v>17</v>
      </c>
      <c r="B13" s="52">
        <v>785</v>
      </c>
      <c r="C13" s="3">
        <v>1723268</v>
      </c>
      <c r="D13" s="3">
        <v>143260</v>
      </c>
      <c r="E13" s="3">
        <v>1250222</v>
      </c>
      <c r="F13" s="3">
        <v>473046</v>
      </c>
      <c r="G13" s="3">
        <v>616306</v>
      </c>
      <c r="H13" s="22">
        <f t="shared" si="4"/>
        <v>0.78510318471337581</v>
      </c>
      <c r="I13" s="7">
        <v>1250</v>
      </c>
      <c r="J13" s="7">
        <v>139</v>
      </c>
      <c r="K13" s="20">
        <f t="shared" si="9"/>
        <v>1727.306</v>
      </c>
      <c r="L13" s="20">
        <f t="shared" si="10"/>
        <v>477.30600000000004</v>
      </c>
      <c r="M13" s="50">
        <f t="shared" si="11"/>
        <v>0.27632972964836572</v>
      </c>
      <c r="N13" s="18">
        <v>0</v>
      </c>
      <c r="O13" s="18">
        <v>396.25</v>
      </c>
      <c r="P13" s="19">
        <v>35.26</v>
      </c>
      <c r="Q13" s="19">
        <v>14.9</v>
      </c>
      <c r="R13" s="19">
        <v>44.5</v>
      </c>
      <c r="S13" s="19">
        <v>111.99</v>
      </c>
      <c r="T13" s="19">
        <v>2.92</v>
      </c>
      <c r="U13" s="19">
        <v>93.71</v>
      </c>
      <c r="V13" s="14">
        <f>P13*I13/100</f>
        <v>440.75</v>
      </c>
      <c r="W13" s="14">
        <f t="shared" si="5"/>
        <v>1171.3749999999998</v>
      </c>
      <c r="X13" s="14">
        <f t="shared" si="1"/>
        <v>3040.9282166000003</v>
      </c>
      <c r="Y13" s="14">
        <f>(O13+((Q13+R13)*I13/100)+V13)-Z13</f>
        <v>1419.7751000000001</v>
      </c>
      <c r="Z13" s="14">
        <f>J13*(S13+T13)/100</f>
        <v>159.72489999999999</v>
      </c>
      <c r="AA13" s="14">
        <f t="shared" si="12"/>
        <v>1621.1531166000002</v>
      </c>
      <c r="AB13" s="15">
        <f>J13*0.6</f>
        <v>83.399999999999991</v>
      </c>
      <c r="AC13" s="14">
        <f t="shared" si="13"/>
        <v>1704.5531166000003</v>
      </c>
      <c r="AD13" s="35">
        <f>AC13/(G13/1000)</f>
        <v>2.7657577836334553</v>
      </c>
      <c r="AE13" s="35">
        <f>(P13+Q13+R13)/100</f>
        <v>0.9466</v>
      </c>
      <c r="AF13" s="37">
        <v>307</v>
      </c>
    </row>
    <row r="14" spans="1:34" x14ac:dyDescent="0.25">
      <c r="A14" s="2" t="s">
        <v>18</v>
      </c>
      <c r="B14" s="52">
        <v>252</v>
      </c>
      <c r="C14" s="3">
        <v>1921176</v>
      </c>
      <c r="D14" s="3">
        <v>18160</v>
      </c>
      <c r="E14" s="3">
        <v>1740731</v>
      </c>
      <c r="F14" s="3">
        <v>180445</v>
      </c>
      <c r="G14" s="3">
        <v>198605</v>
      </c>
      <c r="H14" s="22">
        <f t="shared" si="4"/>
        <v>0.7881150793650793</v>
      </c>
      <c r="I14" s="7">
        <v>1741</v>
      </c>
      <c r="J14" s="7">
        <v>15.1</v>
      </c>
      <c r="K14" s="20">
        <f t="shared" si="9"/>
        <v>1924.5050000000001</v>
      </c>
      <c r="L14" s="20">
        <f t="shared" si="10"/>
        <v>183.50500000000011</v>
      </c>
      <c r="M14" s="50">
        <f t="shared" si="11"/>
        <v>9.5351791759439489E-2</v>
      </c>
      <c r="N14" s="18">
        <v>0</v>
      </c>
      <c r="O14" s="18">
        <v>396.25</v>
      </c>
      <c r="P14" s="19">
        <v>69.95</v>
      </c>
      <c r="Q14" s="19">
        <v>14.9</v>
      </c>
      <c r="R14" s="19">
        <v>44.5</v>
      </c>
      <c r="S14" s="19">
        <v>75.56</v>
      </c>
      <c r="T14" s="19">
        <v>2.92</v>
      </c>
      <c r="U14" s="19">
        <v>125.79</v>
      </c>
      <c r="V14" s="14">
        <f>P14*I14/100</f>
        <v>1217.8295000000001</v>
      </c>
      <c r="W14" s="14">
        <f t="shared" si="5"/>
        <v>2190.0039000000002</v>
      </c>
      <c r="X14" s="14">
        <f t="shared" si="1"/>
        <v>3960.2408095000005</v>
      </c>
      <c r="Y14" s="14">
        <f>(O14+((Q14+R14)*I14/100)+V14)-Z14</f>
        <v>2636.3830200000002</v>
      </c>
      <c r="Z14" s="14">
        <f>J14*(S14+T14)/100</f>
        <v>11.850479999999999</v>
      </c>
      <c r="AA14" s="14">
        <f t="shared" si="12"/>
        <v>1323.8577895000003</v>
      </c>
      <c r="AB14" s="15">
        <f>J14*0.6</f>
        <v>9.0599999999999987</v>
      </c>
      <c r="AC14" s="14">
        <f t="shared" si="13"/>
        <v>1332.9177895000003</v>
      </c>
      <c r="AD14" s="35">
        <f>AC14/(G14/1000)</f>
        <v>6.7114009692605938</v>
      </c>
      <c r="AE14" s="35">
        <f>(P14+Q14+R14)/100</f>
        <v>1.2935000000000003</v>
      </c>
      <c r="AF14" s="37">
        <v>308</v>
      </c>
    </row>
    <row r="15" spans="1:34" x14ac:dyDescent="0.25">
      <c r="A15" s="2" t="s">
        <v>19</v>
      </c>
      <c r="B15" s="52">
        <v>129</v>
      </c>
      <c r="C15" s="3">
        <v>2250076</v>
      </c>
      <c r="D15" s="3">
        <v>10179</v>
      </c>
      <c r="E15" s="3">
        <v>2225386</v>
      </c>
      <c r="F15" s="3">
        <v>28564</v>
      </c>
      <c r="G15" s="3">
        <v>34869</v>
      </c>
      <c r="H15" s="22">
        <f t="shared" si="4"/>
        <v>0.27030232558139533</v>
      </c>
      <c r="I15" s="7">
        <v>2228</v>
      </c>
      <c r="J15" s="7">
        <v>7</v>
      </c>
      <c r="K15" s="20">
        <f t="shared" si="9"/>
        <v>2255.8690000000001</v>
      </c>
      <c r="L15" s="20">
        <f t="shared" si="10"/>
        <v>27.869000000000142</v>
      </c>
      <c r="M15" s="50">
        <f t="shared" si="11"/>
        <v>1.2353997506060919E-2</v>
      </c>
      <c r="N15" s="18">
        <v>0</v>
      </c>
      <c r="O15" s="18">
        <f>396.25-2000</f>
        <v>-1603.75</v>
      </c>
      <c r="P15" s="19">
        <v>147.18</v>
      </c>
      <c r="Q15" s="19">
        <v>14.9</v>
      </c>
      <c r="R15" s="19">
        <v>44.5</v>
      </c>
      <c r="S15" s="19">
        <v>255</v>
      </c>
      <c r="T15" s="19">
        <v>2.92</v>
      </c>
      <c r="U15" s="19">
        <v>246.2</v>
      </c>
      <c r="V15" s="14">
        <f>P15*I15/100</f>
        <v>3279.1704000000004</v>
      </c>
      <c r="W15" s="14">
        <f t="shared" si="5"/>
        <v>5485.3359999999993</v>
      </c>
      <c r="X15" s="14">
        <f>(K15*(U15+Q15+R15)/100)+N15+O15</f>
        <v>5290.1856640000005</v>
      </c>
      <c r="Y15" s="14">
        <f>(O15+((Q15+R15)*I15/100)+V15)-Z15</f>
        <v>2980.7980000000002</v>
      </c>
      <c r="Z15" s="14">
        <f>J15*(S15+T15)/100</f>
        <v>18.054400000000001</v>
      </c>
      <c r="AA15" s="14">
        <f t="shared" si="12"/>
        <v>2309.3876640000003</v>
      </c>
      <c r="AB15" s="15">
        <f>J15*0.6</f>
        <v>4.2</v>
      </c>
      <c r="AC15" s="14">
        <f>AA15+AB15</f>
        <v>2313.5876640000001</v>
      </c>
      <c r="AD15" s="35">
        <f>AC15/(G15/1000)</f>
        <v>66.350846425191435</v>
      </c>
      <c r="AE15" s="35">
        <f>(P15+Q15+R15)/100</f>
        <v>2.0658000000000003</v>
      </c>
      <c r="AF15" s="37">
        <v>309</v>
      </c>
    </row>
    <row r="16" spans="1:34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9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19050</v>
      </c>
      <c r="C18" s="42">
        <f>SUM(C4:C17)/1000</f>
        <v>17808.144</v>
      </c>
      <c r="D18" s="42">
        <f>SUM(D4:D17)/1000</f>
        <v>8609.8050000000003</v>
      </c>
      <c r="E18" s="42">
        <f>SUM(E4:E17)/1000</f>
        <v>9001.3459999999995</v>
      </c>
      <c r="F18" s="42">
        <f>SUM(F4:F17)/1000</f>
        <v>8810.7710000000006</v>
      </c>
      <c r="G18" s="42">
        <f>SUM(G4:G17)/1000</f>
        <v>17416.602999999999</v>
      </c>
      <c r="H18" s="42"/>
      <c r="I18" s="43">
        <f t="shared" ref="I18:O18" si="14">SUM(I4:I15)</f>
        <v>8968.2999999999993</v>
      </c>
      <c r="J18" s="43">
        <f t="shared" si="14"/>
        <v>8574.1</v>
      </c>
      <c r="K18" s="43">
        <f t="shared" si="14"/>
        <v>17810.803</v>
      </c>
      <c r="L18" s="43">
        <f t="shared" si="14"/>
        <v>8842.5030000000024</v>
      </c>
      <c r="M18" s="51">
        <f t="shared" ref="M18" si="15">L18/K18</f>
        <v>0.49646851969560285</v>
      </c>
      <c r="N18" s="43">
        <f t="shared" si="14"/>
        <v>0</v>
      </c>
      <c r="O18" s="44">
        <f t="shared" si="14"/>
        <v>2667.5</v>
      </c>
      <c r="P18" s="44">
        <f>AVERAGE(P4:P14)</f>
        <v>62.281818181818181</v>
      </c>
      <c r="Q18" s="44">
        <f>AVERAGE(Q4:Q15)</f>
        <v>14.608333333333336</v>
      </c>
      <c r="R18" s="44">
        <f>AVERAGE(R4:R15)</f>
        <v>44.5</v>
      </c>
      <c r="S18" s="44">
        <f>AVERAGE(S4:S14)</f>
        <v>71.151818181818186</v>
      </c>
      <c r="T18" s="44">
        <f>AVERAGE(T4:T15)</f>
        <v>2.9200000000000004</v>
      </c>
      <c r="U18" s="44"/>
      <c r="V18" s="44">
        <f t="shared" ref="V18:W18" si="16">SUM(V4:V15)</f>
        <v>7564.3821200000002</v>
      </c>
      <c r="W18" s="44">
        <f t="shared" si="16"/>
        <v>11618.02281</v>
      </c>
      <c r="X18" s="44">
        <f t="shared" ref="X18:AC18" si="17">SUM(X4:X15)</f>
        <v>31453.132741500001</v>
      </c>
      <c r="Y18" s="44">
        <f t="shared" si="17"/>
        <v>9514.2133400000002</v>
      </c>
      <c r="Z18" s="44">
        <f t="shared" si="17"/>
        <v>6027.747980000001</v>
      </c>
      <c r="AA18" s="44">
        <f t="shared" si="17"/>
        <v>21938.919401500003</v>
      </c>
      <c r="AB18" s="44">
        <f t="shared" si="17"/>
        <v>5144.4599999999991</v>
      </c>
      <c r="AC18" s="44">
        <f t="shared" si="17"/>
        <v>27083.379401500002</v>
      </c>
      <c r="AD18" s="45"/>
      <c r="AE18" s="45">
        <f>AVERAGE(AE4:AE15)</f>
        <v>1.2846500000000001</v>
      </c>
      <c r="AF18" s="44">
        <f>SUM(AF4:AF15)</f>
        <v>3645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7"/>
      <c r="Y20" s="56">
        <f>Y18-AB18</f>
        <v>4369.7533400000011</v>
      </c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0" t="s">
        <v>58</v>
      </c>
      <c r="P21" s="60"/>
      <c r="Q21" s="6"/>
      <c r="R21" s="6"/>
      <c r="S21" s="6"/>
      <c r="T21" s="6"/>
      <c r="U21" s="6"/>
      <c r="V21" s="6"/>
      <c r="W21" s="6"/>
      <c r="X21" s="6"/>
    </row>
    <row r="22" spans="1:32" ht="17.25" thickTop="1" thickBot="1" x14ac:dyDescent="0.3">
      <c r="C22" s="47">
        <f>G18</f>
        <v>17416.602999999999</v>
      </c>
      <c r="D22" s="47">
        <f>J18</f>
        <v>8574.1</v>
      </c>
      <c r="E22" s="47">
        <f>I18</f>
        <v>8968.2999999999993</v>
      </c>
      <c r="F22" s="47">
        <f>K18</f>
        <v>17810.803</v>
      </c>
      <c r="G22" s="47">
        <f>L18</f>
        <v>8842.5030000000024</v>
      </c>
      <c r="H22" t="s">
        <v>0</v>
      </c>
      <c r="I22" s="6"/>
      <c r="J22" s="6"/>
      <c r="K22" s="34">
        <v>0</v>
      </c>
      <c r="L22" s="6"/>
      <c r="M22" s="6"/>
      <c r="N22" s="6"/>
      <c r="O22" s="61">
        <f>G24/(G18)</f>
        <v>1.5550322529312981</v>
      </c>
      <c r="P22" s="61"/>
      <c r="Q22" s="6"/>
      <c r="R22" s="6"/>
      <c r="S22" s="6"/>
      <c r="T22" s="6"/>
      <c r="U22" s="6"/>
      <c r="V22" s="6"/>
      <c r="W22" s="57"/>
      <c r="X22" s="57"/>
      <c r="Y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66</v>
      </c>
    </row>
    <row r="24" spans="1:32" ht="21" x14ac:dyDescent="0.35">
      <c r="C24" s="26" t="s">
        <v>64</v>
      </c>
      <c r="D24" s="27"/>
      <c r="E24" s="27"/>
      <c r="F24" s="27"/>
      <c r="G24" s="49">
        <f>AC18+K22</f>
        <v>27083.379401500002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65</v>
      </c>
      <c r="D27" s="1"/>
      <c r="E27" s="1"/>
      <c r="F27" s="1"/>
      <c r="G27" s="48">
        <f>G24-AF18</f>
        <v>23438.379401500002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X1:AE1"/>
    <mergeCell ref="C2:H2"/>
    <mergeCell ref="I2:J2"/>
    <mergeCell ref="N2:T2"/>
    <mergeCell ref="X2:AE2"/>
    <mergeCell ref="O21:P21"/>
    <mergeCell ref="O22:P22"/>
    <mergeCell ref="C1:H1"/>
    <mergeCell ref="I1:J1"/>
    <mergeCell ref="N1:T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58C2-652A-42A8-8176-9FD76258C4A0}">
  <dimension ref="A1:AH28"/>
  <sheetViews>
    <sheetView tabSelected="1" workbookViewId="0">
      <selection activeCell="Y20" sqref="Y20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5703125" customWidth="1"/>
    <col min="22" max="23" width="10.85546875" customWidth="1"/>
    <col min="24" max="24" width="11.7109375" customWidth="1"/>
    <col min="25" max="25" width="10.28515625" customWidth="1"/>
    <col min="26" max="27" width="11" customWidth="1"/>
    <col min="28" max="28" width="10" bestFit="1" customWidth="1"/>
    <col min="29" max="29" width="13.28515625" bestFit="1" customWidth="1"/>
    <col min="30" max="31" width="15.85546875" customWidth="1"/>
    <col min="32" max="32" width="11.85546875" customWidth="1"/>
  </cols>
  <sheetData>
    <row r="1" spans="1:34" x14ac:dyDescent="0.25">
      <c r="A1" s="10">
        <v>2022</v>
      </c>
      <c r="B1" s="10"/>
      <c r="C1" s="62" t="s">
        <v>1</v>
      </c>
      <c r="D1" s="62"/>
      <c r="E1" s="62"/>
      <c r="F1" s="62"/>
      <c r="G1" s="62"/>
      <c r="H1" s="62"/>
      <c r="I1" s="62" t="s">
        <v>2</v>
      </c>
      <c r="J1" s="62"/>
      <c r="K1" s="4"/>
      <c r="L1" s="4"/>
      <c r="M1" s="4"/>
      <c r="N1" s="62" t="s">
        <v>24</v>
      </c>
      <c r="O1" s="62"/>
      <c r="P1" s="62"/>
      <c r="Q1" s="62"/>
      <c r="R1" s="62"/>
      <c r="S1" s="62"/>
      <c r="T1" s="62"/>
      <c r="U1" s="58" t="s">
        <v>68</v>
      </c>
      <c r="V1" s="58"/>
      <c r="W1" s="58"/>
      <c r="X1" s="62" t="s">
        <v>52</v>
      </c>
      <c r="Y1" s="62"/>
      <c r="Z1" s="62"/>
      <c r="AA1" s="62"/>
      <c r="AB1" s="62"/>
      <c r="AC1" s="62"/>
      <c r="AD1" s="62"/>
      <c r="AE1" s="62"/>
    </row>
    <row r="2" spans="1:34" x14ac:dyDescent="0.25">
      <c r="C2" s="63" t="s">
        <v>20</v>
      </c>
      <c r="D2" s="63"/>
      <c r="E2" s="63"/>
      <c r="F2" s="63"/>
      <c r="G2" s="63"/>
      <c r="H2" s="63"/>
      <c r="I2" s="63" t="s">
        <v>54</v>
      </c>
      <c r="J2" s="63"/>
      <c r="N2" s="63" t="s">
        <v>32</v>
      </c>
      <c r="O2" s="63"/>
      <c r="P2" s="63"/>
      <c r="Q2" s="63"/>
      <c r="R2" s="63"/>
      <c r="S2" s="63"/>
      <c r="T2" s="63"/>
      <c r="U2" s="64" t="s">
        <v>67</v>
      </c>
      <c r="V2" s="59"/>
      <c r="W2" s="59"/>
      <c r="X2" s="63" t="s">
        <v>53</v>
      </c>
      <c r="Y2" s="63"/>
      <c r="Z2" s="63"/>
      <c r="AA2" s="63"/>
      <c r="AB2" s="63"/>
      <c r="AC2" s="63"/>
      <c r="AD2" s="63"/>
      <c r="AE2" s="63"/>
    </row>
    <row r="3" spans="1:34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65" t="s">
        <v>67</v>
      </c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  <c r="AH3" s="11"/>
    </row>
    <row r="4" spans="1:34" x14ac:dyDescent="0.25">
      <c r="A4" s="2" t="s">
        <v>8</v>
      </c>
      <c r="B4" s="21">
        <v>231</v>
      </c>
      <c r="C4" s="3">
        <v>2201422</v>
      </c>
      <c r="D4" s="3">
        <v>11501</v>
      </c>
      <c r="E4" s="3">
        <v>2127973</v>
      </c>
      <c r="F4" s="3">
        <v>76136</v>
      </c>
      <c r="G4" s="3">
        <v>84950</v>
      </c>
      <c r="H4" s="22">
        <f>(G4/1000)/B4</f>
        <v>0.36774891774891777</v>
      </c>
      <c r="I4" s="7">
        <v>2128</v>
      </c>
      <c r="J4" s="7">
        <v>8.8000000000000007</v>
      </c>
      <c r="K4" s="20">
        <f t="shared" ref="K4:K15" si="0">(G4/1000)+I4-J4</f>
        <v>2204.1499999999996</v>
      </c>
      <c r="L4" s="20">
        <f>K4-I4</f>
        <v>76.149999999999636</v>
      </c>
      <c r="M4" s="50">
        <f>L4/K4</f>
        <v>3.4548465394823244E-2</v>
      </c>
      <c r="N4" s="18">
        <v>0</v>
      </c>
      <c r="O4" s="18">
        <f>396.25-2000</f>
        <v>-1603.75</v>
      </c>
      <c r="P4" s="19">
        <v>89.14</v>
      </c>
      <c r="Q4" s="19">
        <v>14.9</v>
      </c>
      <c r="R4" s="19">
        <v>45</v>
      </c>
      <c r="S4" s="19">
        <v>153.52000000000001</v>
      </c>
      <c r="T4" s="19">
        <v>2.92</v>
      </c>
      <c r="U4" s="19">
        <v>147.54</v>
      </c>
      <c r="V4" s="14">
        <f>P4*I4/100</f>
        <v>1896.8992000000001</v>
      </c>
      <c r="W4" s="14">
        <f>U4*I4/100</f>
        <v>3139.6511999999998</v>
      </c>
      <c r="X4" s="14">
        <f t="shared" ref="X4:X14" si="1">(K4*(U4+Q4+R4)/100)+N4+O4</f>
        <v>2968.5387599999995</v>
      </c>
      <c r="Y4" s="14">
        <f>(O4+((Q4+R4)*I4/100)+V4)-Z4</f>
        <v>1554.05448</v>
      </c>
      <c r="Z4" s="14">
        <f>J4*(S4+T4)/100</f>
        <v>13.766719999999999</v>
      </c>
      <c r="AA4" s="14">
        <f t="shared" ref="AA4:AA15" si="2">X4-Y4</f>
        <v>1414.4842799999994</v>
      </c>
      <c r="AB4" s="15">
        <f>J4*0.6</f>
        <v>5.28</v>
      </c>
      <c r="AC4" s="14">
        <f t="shared" ref="AC4:AC6" si="3">AA4+AB4</f>
        <v>1419.7642799999994</v>
      </c>
      <c r="AD4" s="35">
        <f>AC4/(G4/1000)</f>
        <v>16.712940317834011</v>
      </c>
      <c r="AE4" s="35">
        <f>(P4+Q4+R4)/100</f>
        <v>1.4904000000000002</v>
      </c>
      <c r="AF4" s="37">
        <v>300</v>
      </c>
    </row>
    <row r="5" spans="1:34" x14ac:dyDescent="0.25">
      <c r="A5" s="2" t="s">
        <v>9</v>
      </c>
      <c r="B5" s="21">
        <v>574</v>
      </c>
      <c r="C5" s="3">
        <v>2081403</v>
      </c>
      <c r="D5" s="3">
        <v>92879</v>
      </c>
      <c r="E5" s="3">
        <v>1700560</v>
      </c>
      <c r="F5" s="3">
        <v>380843</v>
      </c>
      <c r="G5" s="3">
        <v>473722</v>
      </c>
      <c r="H5" s="22">
        <f t="shared" ref="H5:H15" si="4">(G5/1000)/B5</f>
        <v>0.82529965156794427</v>
      </c>
      <c r="I5" s="7">
        <v>1699</v>
      </c>
      <c r="J5" s="7">
        <v>88.6</v>
      </c>
      <c r="K5" s="20">
        <f t="shared" si="0"/>
        <v>2084.1219999999998</v>
      </c>
      <c r="L5" s="20">
        <f>K5-I5</f>
        <v>385.12199999999984</v>
      </c>
      <c r="M5" s="50">
        <f>L5/K5</f>
        <v>0.18478860642515163</v>
      </c>
      <c r="N5" s="18">
        <v>0</v>
      </c>
      <c r="O5" s="18">
        <f>396.25-1300</f>
        <v>-903.75</v>
      </c>
      <c r="P5" s="19">
        <v>54.04</v>
      </c>
      <c r="Q5" s="19">
        <v>14.9</v>
      </c>
      <c r="R5" s="19">
        <v>45</v>
      </c>
      <c r="S5" s="19">
        <v>114.71</v>
      </c>
      <c r="T5" s="19">
        <v>2.92</v>
      </c>
      <c r="U5" s="19">
        <v>110.28</v>
      </c>
      <c r="V5" s="14">
        <f>P5*I5/100</f>
        <v>918.13959999999997</v>
      </c>
      <c r="W5" s="14">
        <f t="shared" ref="W5:W15" si="5">U5*I5/100</f>
        <v>1873.6572000000001</v>
      </c>
      <c r="X5" s="14">
        <f t="shared" si="1"/>
        <v>2643.0088195999997</v>
      </c>
      <c r="Y5" s="14">
        <f>(O5+((Q5+R5)*I5/100)+V5)-Z5</f>
        <v>927.87041999999997</v>
      </c>
      <c r="Z5" s="14">
        <f>J5*(S5+T5)/100</f>
        <v>104.22017999999998</v>
      </c>
      <c r="AA5" s="14">
        <f t="shared" si="2"/>
        <v>1715.1383995999997</v>
      </c>
      <c r="AB5" s="15">
        <f>J5*0.6</f>
        <v>53.16</v>
      </c>
      <c r="AC5" s="14">
        <f t="shared" si="3"/>
        <v>1768.2983995999998</v>
      </c>
      <c r="AD5" s="35">
        <f>AC5/(G5/1000)</f>
        <v>3.7327766065329451</v>
      </c>
      <c r="AE5" s="35">
        <f>(P5+Q5+R5)/100</f>
        <v>1.1394</v>
      </c>
      <c r="AF5" s="37">
        <v>300</v>
      </c>
    </row>
    <row r="6" spans="1:34" x14ac:dyDescent="0.25">
      <c r="A6" s="2" t="s">
        <v>10</v>
      </c>
      <c r="B6" s="21">
        <v>1388</v>
      </c>
      <c r="C6" s="3">
        <v>2338295</v>
      </c>
      <c r="D6" s="3">
        <v>446359</v>
      </c>
      <c r="E6" s="3">
        <v>936050</v>
      </c>
      <c r="F6" s="3">
        <v>1402245</v>
      </c>
      <c r="G6" s="3">
        <v>1848604</v>
      </c>
      <c r="H6" s="22">
        <f t="shared" si="4"/>
        <v>1.3318472622478386</v>
      </c>
      <c r="I6" s="7">
        <v>931</v>
      </c>
      <c r="J6" s="7">
        <v>443</v>
      </c>
      <c r="K6" s="20">
        <f t="shared" si="0"/>
        <v>2336.6040000000003</v>
      </c>
      <c r="L6" s="20">
        <f>K6-I6</f>
        <v>1405.6040000000003</v>
      </c>
      <c r="M6" s="50">
        <f>L6/K6</f>
        <v>0.6015585011409722</v>
      </c>
      <c r="N6" s="18">
        <v>0</v>
      </c>
      <c r="O6" s="18">
        <f>396.25-200</f>
        <v>196.25</v>
      </c>
      <c r="P6" s="19">
        <v>92.6</v>
      </c>
      <c r="Q6" s="19">
        <v>14.9</v>
      </c>
      <c r="R6" s="19">
        <v>45</v>
      </c>
      <c r="S6" s="19">
        <v>218.17</v>
      </c>
      <c r="T6" s="19">
        <v>2.92</v>
      </c>
      <c r="U6" s="19">
        <v>179.43</v>
      </c>
      <c r="V6" s="14">
        <f>P6*I6/100</f>
        <v>862.10599999999988</v>
      </c>
      <c r="W6" s="14">
        <f t="shared" si="5"/>
        <v>1670.4933000000001</v>
      </c>
      <c r="X6" s="14">
        <f t="shared" si="1"/>
        <v>5788.4443532000005</v>
      </c>
      <c r="Y6" s="14">
        <f>(O6+((Q6+R6)*I6/100)+V6)-Z6</f>
        <v>636.59629999999993</v>
      </c>
      <c r="Z6" s="14">
        <f>J6*(S6+T6)/100</f>
        <v>979.42869999999994</v>
      </c>
      <c r="AA6" s="14">
        <f t="shared" si="2"/>
        <v>5151.8480532000003</v>
      </c>
      <c r="AB6" s="15">
        <f>J6*0.6</f>
        <v>265.8</v>
      </c>
      <c r="AC6" s="14">
        <f t="shared" si="3"/>
        <v>5417.6480532000005</v>
      </c>
      <c r="AD6" s="35">
        <f>AC6/(G6/1000)</f>
        <v>2.9306698747811866</v>
      </c>
      <c r="AE6" s="35">
        <f>(P6+Q6+R6)/100</f>
        <v>1.5249999999999999</v>
      </c>
      <c r="AF6" s="37">
        <v>300</v>
      </c>
    </row>
    <row r="7" spans="1:34" x14ac:dyDescent="0.25">
      <c r="A7" s="2" t="s">
        <v>11</v>
      </c>
      <c r="B7" s="21">
        <v>2267</v>
      </c>
      <c r="C7" s="3">
        <v>2355119</v>
      </c>
      <c r="D7" s="3">
        <v>629990</v>
      </c>
      <c r="E7" s="3">
        <v>657690</v>
      </c>
      <c r="F7" s="3">
        <v>1697429</v>
      </c>
      <c r="G7" s="3">
        <v>2327419</v>
      </c>
      <c r="H7" s="22">
        <f t="shared" si="4"/>
        <v>1.0266515218350243</v>
      </c>
      <c r="I7" s="7">
        <v>653</v>
      </c>
      <c r="J7" s="7">
        <v>626</v>
      </c>
      <c r="K7" s="20">
        <f t="shared" si="0"/>
        <v>2354.4189999999999</v>
      </c>
      <c r="L7" s="20">
        <f t="shared" ref="L7:L15" si="6">K7-I7</f>
        <v>1701.4189999999999</v>
      </c>
      <c r="M7" s="50">
        <f t="shared" ref="M7:M15" si="7">L7/K7</f>
        <v>0.72264919710552789</v>
      </c>
      <c r="N7" s="18">
        <v>0</v>
      </c>
      <c r="O7" s="18">
        <v>396.25</v>
      </c>
      <c r="P7" s="19">
        <v>74.739999999999995</v>
      </c>
      <c r="Q7" s="19">
        <v>14.9</v>
      </c>
      <c r="R7" s="19">
        <v>45</v>
      </c>
      <c r="S7" s="19">
        <v>115.57</v>
      </c>
      <c r="T7" s="19">
        <v>2.92</v>
      </c>
      <c r="U7" s="19">
        <v>120.39</v>
      </c>
      <c r="V7" s="14">
        <f>P7*I7/100</f>
        <v>488.05219999999991</v>
      </c>
      <c r="W7" s="14">
        <f t="shared" si="5"/>
        <v>786.14670000000001</v>
      </c>
      <c r="X7" s="14">
        <f t="shared" si="1"/>
        <v>4641.0320150999996</v>
      </c>
      <c r="Y7" s="14">
        <f>(O7+((Q7+R7)*I7/100)+V7)-Z7</f>
        <v>533.70179999999993</v>
      </c>
      <c r="Z7" s="14">
        <f>J7*(S7+T7)/100</f>
        <v>741.74739999999986</v>
      </c>
      <c r="AA7" s="14">
        <f t="shared" si="2"/>
        <v>4107.3302150999998</v>
      </c>
      <c r="AB7" s="15">
        <f>J7*0.6</f>
        <v>375.59999999999997</v>
      </c>
      <c r="AC7" s="14">
        <f>AA7+AB7</f>
        <v>4482.9302151000002</v>
      </c>
      <c r="AD7" s="35">
        <f>AC7/(G7/1000)</f>
        <v>1.9261380160168842</v>
      </c>
      <c r="AE7" s="35">
        <f>(P7+Q7+R7)/100</f>
        <v>1.3463999999999998</v>
      </c>
      <c r="AF7" s="37">
        <v>300</v>
      </c>
    </row>
    <row r="8" spans="1:34" x14ac:dyDescent="0.25">
      <c r="A8" s="2" t="s">
        <v>12</v>
      </c>
      <c r="B8" s="21">
        <v>3186</v>
      </c>
      <c r="C8" s="3">
        <v>2157173</v>
      </c>
      <c r="D8" s="3">
        <v>1037970</v>
      </c>
      <c r="E8" s="3">
        <v>218013</v>
      </c>
      <c r="F8" s="3">
        <v>1939160</v>
      </c>
      <c r="G8" s="3">
        <v>2977130</v>
      </c>
      <c r="H8" s="22">
        <f t="shared" si="4"/>
        <v>0.93444130571249218</v>
      </c>
      <c r="I8" s="7">
        <v>212</v>
      </c>
      <c r="J8" s="7">
        <v>1031</v>
      </c>
      <c r="K8" s="20">
        <f t="shared" si="0"/>
        <v>2158.13</v>
      </c>
      <c r="L8" s="20">
        <f t="shared" si="6"/>
        <v>1946.13</v>
      </c>
      <c r="M8" s="50">
        <f t="shared" si="7"/>
        <v>0.90176680737490322</v>
      </c>
      <c r="N8" s="18">
        <v>0</v>
      </c>
      <c r="O8" s="18">
        <v>396.25</v>
      </c>
      <c r="P8" s="19">
        <v>63.39</v>
      </c>
      <c r="Q8" s="19">
        <v>17</v>
      </c>
      <c r="R8" s="19">
        <v>45</v>
      </c>
      <c r="S8" s="19">
        <v>124.82</v>
      </c>
      <c r="T8" s="19">
        <v>6.9</v>
      </c>
      <c r="U8" s="19">
        <v>139.09</v>
      </c>
      <c r="V8" s="14">
        <f>P8*I8/100</f>
        <v>134.38679999999999</v>
      </c>
      <c r="W8" s="14">
        <f t="shared" si="5"/>
        <v>294.87080000000003</v>
      </c>
      <c r="X8" s="14">
        <f t="shared" si="1"/>
        <v>4736.033617</v>
      </c>
      <c r="Y8" s="14">
        <f>(O8+((Q8+R8)*I8/100)+V8)-Z8</f>
        <v>-695.95640000000003</v>
      </c>
      <c r="Z8" s="14">
        <f>J8*(S8+T8)/100</f>
        <v>1358.0332000000001</v>
      </c>
      <c r="AA8" s="14">
        <f t="shared" si="2"/>
        <v>5431.9900170000001</v>
      </c>
      <c r="AB8" s="15">
        <f>J8*0.6</f>
        <v>618.6</v>
      </c>
      <c r="AC8" s="14">
        <f t="shared" ref="AC8:AC14" si="8">AA8+AB8</f>
        <v>6050.5900170000004</v>
      </c>
      <c r="AD8" s="35">
        <f>AC8/(G8/1000)</f>
        <v>2.0323566713579857</v>
      </c>
      <c r="AE8" s="35">
        <f>(P8+Q8+R8)/100</f>
        <v>1.2539</v>
      </c>
      <c r="AF8" s="37">
        <v>300</v>
      </c>
    </row>
    <row r="9" spans="1:34" x14ac:dyDescent="0.25">
      <c r="A9" s="2" t="s">
        <v>13</v>
      </c>
      <c r="B9" s="21">
        <v>3105</v>
      </c>
      <c r="C9" s="3">
        <v>2052033</v>
      </c>
      <c r="D9" s="3">
        <v>1397381</v>
      </c>
      <c r="E9" s="3">
        <v>255607</v>
      </c>
      <c r="F9" s="3">
        <v>1796426</v>
      </c>
      <c r="G9" s="3">
        <v>3193807</v>
      </c>
      <c r="H9" s="22">
        <f t="shared" si="4"/>
        <v>1.0286012882447664</v>
      </c>
      <c r="I9" s="7">
        <v>249</v>
      </c>
      <c r="J9" s="7">
        <v>1388</v>
      </c>
      <c r="K9" s="20">
        <f t="shared" si="0"/>
        <v>2054.8069999999998</v>
      </c>
      <c r="L9" s="20">
        <f t="shared" si="6"/>
        <v>1805.8069999999998</v>
      </c>
      <c r="M9" s="50">
        <f t="shared" si="7"/>
        <v>0.87882073596206356</v>
      </c>
      <c r="N9" s="18">
        <v>0</v>
      </c>
      <c r="O9" s="18">
        <v>396.25</v>
      </c>
      <c r="P9" s="19">
        <v>57.52</v>
      </c>
      <c r="Q9" s="19">
        <v>17</v>
      </c>
      <c r="R9" s="19">
        <v>45</v>
      </c>
      <c r="S9" s="19">
        <v>155.91999999999999</v>
      </c>
      <c r="T9" s="19">
        <v>6.9</v>
      </c>
      <c r="U9" s="19">
        <v>171.86</v>
      </c>
      <c r="V9" s="14">
        <f>P9*I9/100</f>
        <v>143.22480000000002</v>
      </c>
      <c r="W9" s="14">
        <f t="shared" si="5"/>
        <v>427.93140000000005</v>
      </c>
      <c r="X9" s="14">
        <f t="shared" si="1"/>
        <v>5201.6216501999997</v>
      </c>
      <c r="Y9" s="14">
        <f>(O9+((Q9+R9)*I9/100)+V9)-Z9</f>
        <v>-1566.0868</v>
      </c>
      <c r="Z9" s="14">
        <f>J9*(S9+T9)/100</f>
        <v>2259.9416000000001</v>
      </c>
      <c r="AA9" s="14">
        <f t="shared" si="2"/>
        <v>6767.7084501999998</v>
      </c>
      <c r="AB9" s="15">
        <f>J9*0.6</f>
        <v>832.8</v>
      </c>
      <c r="AC9" s="14">
        <f t="shared" si="8"/>
        <v>7600.5084502</v>
      </c>
      <c r="AD9" s="35">
        <f>AC9/(G9/1000)</f>
        <v>2.3797644786300487</v>
      </c>
      <c r="AE9" s="35">
        <f>(P9+Q9+R9)/100</f>
        <v>1.1952</v>
      </c>
      <c r="AF9" s="37">
        <v>300</v>
      </c>
    </row>
    <row r="10" spans="1:34" x14ac:dyDescent="0.25">
      <c r="A10" s="2" t="s">
        <v>14</v>
      </c>
      <c r="B10" s="21">
        <v>3001</v>
      </c>
      <c r="C10" s="3">
        <v>2017103</v>
      </c>
      <c r="D10" s="3">
        <v>1255370</v>
      </c>
      <c r="E10" s="3">
        <v>397719</v>
      </c>
      <c r="F10" s="3">
        <v>1619384</v>
      </c>
      <c r="G10" s="3">
        <v>2874754</v>
      </c>
      <c r="H10" s="22">
        <f t="shared" si="4"/>
        <v>0.95793202265911359</v>
      </c>
      <c r="I10" s="7">
        <v>393</v>
      </c>
      <c r="J10" s="7">
        <v>1247</v>
      </c>
      <c r="K10" s="20">
        <f t="shared" si="0"/>
        <v>2020.7539999999999</v>
      </c>
      <c r="L10" s="20">
        <f t="shared" si="6"/>
        <v>1627.7539999999999</v>
      </c>
      <c r="M10" s="50">
        <f t="shared" si="7"/>
        <v>0.80551813827907803</v>
      </c>
      <c r="N10" s="18">
        <v>0</v>
      </c>
      <c r="O10" s="18">
        <v>396.25</v>
      </c>
      <c r="P10" s="19">
        <v>33.39</v>
      </c>
      <c r="Q10" s="19">
        <v>17</v>
      </c>
      <c r="R10" s="19">
        <v>45</v>
      </c>
      <c r="S10" s="19">
        <v>135.55000000000001</v>
      </c>
      <c r="T10" s="19">
        <v>6.9</v>
      </c>
      <c r="U10" s="19">
        <v>124.38</v>
      </c>
      <c r="V10" s="14">
        <f>P10*I10/100</f>
        <v>131.2227</v>
      </c>
      <c r="W10" s="14">
        <f t="shared" si="5"/>
        <v>488.81339999999994</v>
      </c>
      <c r="X10" s="14">
        <f t="shared" si="1"/>
        <v>4162.5313052000001</v>
      </c>
      <c r="Y10" s="14">
        <f>(O10+((Q10+R10)*I10/100)+V10)-Z10</f>
        <v>-1005.2188000000002</v>
      </c>
      <c r="Z10" s="14">
        <f>J10*(S10+T10)/100</f>
        <v>1776.3515000000002</v>
      </c>
      <c r="AA10" s="14">
        <f t="shared" si="2"/>
        <v>5167.7501052000007</v>
      </c>
      <c r="AB10" s="15">
        <f>J10*0.6</f>
        <v>748.19999999999993</v>
      </c>
      <c r="AC10" s="14">
        <f t="shared" si="8"/>
        <v>5915.9501052000005</v>
      </c>
      <c r="AD10" s="35">
        <f>AC10/(G10/1000)</f>
        <v>2.0578978601995166</v>
      </c>
      <c r="AE10" s="35">
        <f>(P10+Q10+R10)/100</f>
        <v>0.95389999999999997</v>
      </c>
      <c r="AF10" s="37">
        <v>300</v>
      </c>
    </row>
    <row r="11" spans="1:34" x14ac:dyDescent="0.25">
      <c r="A11" s="2" t="s">
        <v>15</v>
      </c>
      <c r="B11" s="21">
        <v>2483</v>
      </c>
      <c r="C11" s="3"/>
      <c r="D11" s="3"/>
      <c r="E11" s="3"/>
      <c r="F11" s="3"/>
      <c r="G11" s="3"/>
      <c r="H11" s="22"/>
      <c r="I11" s="7"/>
      <c r="J11" s="7"/>
      <c r="K11" s="20"/>
      <c r="L11" s="20"/>
      <c r="M11" s="50"/>
      <c r="N11" s="18"/>
      <c r="O11" s="18"/>
      <c r="P11" s="19"/>
      <c r="Q11" s="19"/>
      <c r="R11" s="19"/>
      <c r="S11" s="19"/>
      <c r="T11" s="19"/>
      <c r="U11" s="19"/>
      <c r="V11" s="14"/>
      <c r="W11" s="14"/>
      <c r="X11" s="14"/>
      <c r="Y11" s="14"/>
      <c r="Z11" s="14"/>
      <c r="AA11" s="14"/>
      <c r="AB11" s="15"/>
      <c r="AC11" s="14"/>
      <c r="AD11" s="35"/>
      <c r="AE11" s="35"/>
      <c r="AF11" s="37"/>
    </row>
    <row r="12" spans="1:34" x14ac:dyDescent="0.25">
      <c r="A12" s="2" t="s">
        <v>16</v>
      </c>
      <c r="B12" s="52">
        <v>1649</v>
      </c>
      <c r="C12" s="3"/>
      <c r="D12" s="3"/>
      <c r="E12" s="3"/>
      <c r="F12" s="3"/>
      <c r="G12" s="3"/>
      <c r="H12" s="22"/>
      <c r="I12" s="7"/>
      <c r="J12" s="7"/>
      <c r="K12" s="20"/>
      <c r="L12" s="20"/>
      <c r="M12" s="50"/>
      <c r="N12" s="18"/>
      <c r="O12" s="18"/>
      <c r="P12" s="19"/>
      <c r="Q12" s="19"/>
      <c r="R12" s="19"/>
      <c r="S12" s="19"/>
      <c r="T12" s="19"/>
      <c r="U12" s="19"/>
      <c r="V12" s="14"/>
      <c r="W12" s="14"/>
      <c r="X12" s="14"/>
      <c r="Y12" s="14"/>
      <c r="Z12" s="14"/>
      <c r="AA12" s="14"/>
      <c r="AB12" s="15"/>
      <c r="AC12" s="14"/>
      <c r="AD12" s="35"/>
      <c r="AE12" s="35"/>
      <c r="AF12" s="37"/>
    </row>
    <row r="13" spans="1:34" x14ac:dyDescent="0.25">
      <c r="A13" s="2" t="s">
        <v>17</v>
      </c>
      <c r="B13" s="52">
        <v>785</v>
      </c>
      <c r="C13" s="3"/>
      <c r="D13" s="3"/>
      <c r="E13" s="3"/>
      <c r="F13" s="3"/>
      <c r="G13" s="3"/>
      <c r="H13" s="22"/>
      <c r="I13" s="7"/>
      <c r="J13" s="7"/>
      <c r="K13" s="20"/>
      <c r="L13" s="20"/>
      <c r="M13" s="50"/>
      <c r="N13" s="18"/>
      <c r="O13" s="18"/>
      <c r="P13" s="19"/>
      <c r="Q13" s="19"/>
      <c r="R13" s="19"/>
      <c r="S13" s="19"/>
      <c r="T13" s="19"/>
      <c r="U13" s="19"/>
      <c r="V13" s="14"/>
      <c r="W13" s="14"/>
      <c r="X13" s="14"/>
      <c r="Y13" s="14"/>
      <c r="Z13" s="14"/>
      <c r="AA13" s="14"/>
      <c r="AB13" s="15"/>
      <c r="AC13" s="14"/>
      <c r="AD13" s="35"/>
      <c r="AE13" s="35"/>
      <c r="AF13" s="37"/>
    </row>
    <row r="14" spans="1:34" x14ac:dyDescent="0.25">
      <c r="A14" s="2" t="s">
        <v>18</v>
      </c>
      <c r="B14" s="52">
        <v>252</v>
      </c>
      <c r="C14" s="3"/>
      <c r="D14" s="3"/>
      <c r="E14" s="3"/>
      <c r="F14" s="3"/>
      <c r="G14" s="3"/>
      <c r="H14" s="22"/>
      <c r="I14" s="7"/>
      <c r="J14" s="7"/>
      <c r="K14" s="20"/>
      <c r="L14" s="20"/>
      <c r="M14" s="50"/>
      <c r="N14" s="18"/>
      <c r="O14" s="18"/>
      <c r="P14" s="19"/>
      <c r="Q14" s="19"/>
      <c r="R14" s="19"/>
      <c r="S14" s="19"/>
      <c r="T14" s="19"/>
      <c r="U14" s="19"/>
      <c r="V14" s="14"/>
      <c r="W14" s="14"/>
      <c r="X14" s="14"/>
      <c r="Y14" s="14"/>
      <c r="Z14" s="14"/>
      <c r="AA14" s="14"/>
      <c r="AB14" s="15"/>
      <c r="AC14" s="14"/>
      <c r="AD14" s="35"/>
      <c r="AE14" s="35"/>
      <c r="AF14" s="37"/>
    </row>
    <row r="15" spans="1:34" x14ac:dyDescent="0.25">
      <c r="A15" s="2" t="s">
        <v>19</v>
      </c>
      <c r="B15" s="52">
        <v>129</v>
      </c>
      <c r="C15" s="3"/>
      <c r="D15" s="3"/>
      <c r="E15" s="3"/>
      <c r="F15" s="3"/>
      <c r="G15" s="3"/>
      <c r="H15" s="22"/>
      <c r="I15" s="7"/>
      <c r="J15" s="7"/>
      <c r="K15" s="20"/>
      <c r="L15" s="20"/>
      <c r="M15" s="50"/>
      <c r="N15" s="18"/>
      <c r="O15" s="18"/>
      <c r="P15" s="19"/>
      <c r="Q15" s="19"/>
      <c r="R15" s="19"/>
      <c r="S15" s="19"/>
      <c r="T15" s="19"/>
      <c r="U15" s="19"/>
      <c r="V15" s="14"/>
      <c r="W15" s="14"/>
      <c r="X15" s="14"/>
      <c r="Y15" s="14"/>
      <c r="Z15" s="14"/>
      <c r="AA15" s="14"/>
      <c r="AB15" s="15"/>
      <c r="AC15" s="14"/>
      <c r="AD15" s="35"/>
      <c r="AE15" s="35"/>
      <c r="AF15" s="37"/>
    </row>
    <row r="16" spans="1:34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9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19050</v>
      </c>
      <c r="C18" s="42">
        <f>SUM(C4:C17)/1000</f>
        <v>15202.548000000001</v>
      </c>
      <c r="D18" s="42">
        <f>SUM(D4:D17)/1000</f>
        <v>4871.45</v>
      </c>
      <c r="E18" s="42">
        <f>SUM(E4:E17)/1000</f>
        <v>6293.6120000000001</v>
      </c>
      <c r="F18" s="42">
        <f>SUM(F4:F17)/1000</f>
        <v>8911.6229999999996</v>
      </c>
      <c r="G18" s="42">
        <f>SUM(G4:G17)/1000</f>
        <v>13780.386</v>
      </c>
      <c r="H18" s="42"/>
      <c r="I18" s="43">
        <f t="shared" ref="I18:O18" si="9">SUM(I4:I15)</f>
        <v>6265</v>
      </c>
      <c r="J18" s="43">
        <f t="shared" si="9"/>
        <v>4832.3999999999996</v>
      </c>
      <c r="K18" s="43">
        <f t="shared" si="9"/>
        <v>15212.986000000001</v>
      </c>
      <c r="L18" s="43">
        <f t="shared" si="9"/>
        <v>8947.985999999999</v>
      </c>
      <c r="M18" s="51">
        <f t="shared" ref="M18" si="10">L18/K18</f>
        <v>0.58818078186622924</v>
      </c>
      <c r="N18" s="43">
        <f t="shared" si="9"/>
        <v>0</v>
      </c>
      <c r="O18" s="44">
        <f t="shared" si="9"/>
        <v>-726.25</v>
      </c>
      <c r="P18" s="44">
        <f>AVERAGE(P4:P14)</f>
        <v>66.40285714285713</v>
      </c>
      <c r="Q18" s="44">
        <f>AVERAGE(Q4:Q15)</f>
        <v>15.799999999999999</v>
      </c>
      <c r="R18" s="44">
        <f>AVERAGE(R4:R15)</f>
        <v>45</v>
      </c>
      <c r="S18" s="44">
        <f>AVERAGE(S4:S14)</f>
        <v>145.46571428571428</v>
      </c>
      <c r="T18" s="44">
        <f>AVERAGE(T4:T15)</f>
        <v>4.6257142857142854</v>
      </c>
      <c r="U18" s="44"/>
      <c r="V18" s="44">
        <f t="shared" ref="V18:AC18" si="11">SUM(V4:V15)</f>
        <v>4574.0313000000006</v>
      </c>
      <c r="W18" s="44">
        <f t="shared" si="11"/>
        <v>8681.5639999999985</v>
      </c>
      <c r="X18" s="44">
        <f t="shared" si="11"/>
        <v>30141.210520299996</v>
      </c>
      <c r="Y18" s="44">
        <f t="shared" si="11"/>
        <v>384.96099999999967</v>
      </c>
      <c r="Z18" s="44">
        <f t="shared" si="11"/>
        <v>7233.4892999999993</v>
      </c>
      <c r="AA18" s="44">
        <f t="shared" si="11"/>
        <v>29756.2495203</v>
      </c>
      <c r="AB18" s="44">
        <f t="shared" si="11"/>
        <v>2899.4399999999996</v>
      </c>
      <c r="AC18" s="44">
        <f t="shared" si="11"/>
        <v>32655.689520300002</v>
      </c>
      <c r="AD18" s="45"/>
      <c r="AE18" s="45">
        <f>AVERAGE(AE4:AE15)</f>
        <v>1.2720285714285713</v>
      </c>
      <c r="AF18" s="44">
        <f>SUM(AF4:AF15)</f>
        <v>2100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7"/>
      <c r="Y20" s="56">
        <f>Y18-AB18</f>
        <v>-2514.4789999999998</v>
      </c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0" t="s">
        <v>58</v>
      </c>
      <c r="P21" s="60"/>
      <c r="Q21" s="6"/>
      <c r="R21" s="6"/>
      <c r="S21" s="6"/>
      <c r="T21" s="6"/>
      <c r="U21" s="6"/>
      <c r="V21" s="6"/>
      <c r="W21" s="6"/>
      <c r="X21" s="6"/>
    </row>
    <row r="22" spans="1:32" ht="17.25" thickTop="1" thickBot="1" x14ac:dyDescent="0.3">
      <c r="C22" s="47">
        <f>G18</f>
        <v>13780.386</v>
      </c>
      <c r="D22" s="47">
        <f>J18</f>
        <v>4832.3999999999996</v>
      </c>
      <c r="E22" s="47">
        <f>I18</f>
        <v>6265</v>
      </c>
      <c r="F22" s="47">
        <f>K18</f>
        <v>15212.986000000001</v>
      </c>
      <c r="G22" s="47">
        <f>L18</f>
        <v>8947.985999999999</v>
      </c>
      <c r="H22" t="s">
        <v>0</v>
      </c>
      <c r="I22" s="6"/>
      <c r="J22" s="6"/>
      <c r="K22" s="34">
        <v>0</v>
      </c>
      <c r="L22" s="6"/>
      <c r="M22" s="6"/>
      <c r="N22" s="6"/>
      <c r="O22" s="61">
        <f>G24/(G18)</f>
        <v>2.3697224098294489</v>
      </c>
      <c r="P22" s="61"/>
      <c r="Q22" s="6"/>
      <c r="R22" s="6"/>
      <c r="S22" s="6"/>
      <c r="T22" s="6"/>
      <c r="U22" s="6"/>
      <c r="V22" s="6"/>
      <c r="W22" s="57"/>
      <c r="X22" s="57"/>
      <c r="Y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70</v>
      </c>
    </row>
    <row r="24" spans="1:32" ht="21" x14ac:dyDescent="0.35">
      <c r="C24" s="26" t="s">
        <v>64</v>
      </c>
      <c r="D24" s="27"/>
      <c r="E24" s="27"/>
      <c r="F24" s="27"/>
      <c r="G24" s="49">
        <f>AC18+K22</f>
        <v>32655.689520300002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65</v>
      </c>
      <c r="D27" s="1"/>
      <c r="E27" s="1"/>
      <c r="F27" s="1"/>
      <c r="G27" s="48">
        <f>G24-AF18</f>
        <v>30555.689520300002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O21:P21"/>
    <mergeCell ref="O22:P22"/>
    <mergeCell ref="C1:H1"/>
    <mergeCell ref="I1:J1"/>
    <mergeCell ref="N1:T1"/>
    <mergeCell ref="X1:AE1"/>
    <mergeCell ref="C2:H2"/>
    <mergeCell ref="I2:J2"/>
    <mergeCell ref="N2:T2"/>
    <mergeCell ref="X2:AE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 2020</vt:lpstr>
      <vt:lpstr>Electricity 2021</vt:lpstr>
      <vt:lpstr>Electricity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Pernemark</dc:creator>
  <cp:lastModifiedBy>Magnus Pernemark</cp:lastModifiedBy>
  <dcterms:created xsi:type="dcterms:W3CDTF">2020-07-05T20:11:56Z</dcterms:created>
  <dcterms:modified xsi:type="dcterms:W3CDTF">2022-08-12T23:21:01Z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magnus.pernemark@evry.com</vt:lpwstr>
  </property>
  <property fmtid="{D5CDD505-2E9C-101B-9397-08002B2CF9AE}" pid="5" name="MSIP_Label_2fef85ea-3e38-424b-a536-85f7ca35fb6d_SetDate">
    <vt:lpwstr>2020-07-05T22:31:51.0838287Z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466c5535-62eb-4dbb-a276-dd3c23d94055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