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icityCalculations\"/>
    </mc:Choice>
  </mc:AlternateContent>
  <xr:revisionPtr revIDLastSave="0" documentId="13_ncr:1_{48DD1823-848F-4F61-B779-F74344557656}" xr6:coauthVersionLast="46" xr6:coauthVersionMax="46" xr10:uidLastSave="{00000000-0000-0000-0000-000000000000}"/>
  <bookViews>
    <workbookView xWindow="-120" yWindow="-120" windowWidth="29040" windowHeight="15840" xr2:uid="{ECB3817B-AF73-4635-88B4-AD4DB6228D86}"/>
  </bookViews>
  <sheets>
    <sheet name="Electricity 202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" i="2" l="1"/>
  <c r="K15" i="2"/>
  <c r="L15" i="2" s="1"/>
  <c r="M15" i="2" s="1"/>
  <c r="AC15" i="2"/>
  <c r="V14" i="2"/>
  <c r="AC14" i="2"/>
  <c r="K14" i="2"/>
  <c r="L14" i="2" s="1"/>
  <c r="M14" i="2" s="1"/>
  <c r="AB13" i="2"/>
  <c r="U13" i="2"/>
  <c r="V13" i="2"/>
  <c r="AC13" i="2"/>
  <c r="K13" i="2"/>
  <c r="L13" i="2" s="1"/>
  <c r="M13" i="2" s="1"/>
  <c r="U14" i="2" l="1"/>
  <c r="U15" i="2"/>
  <c r="AB12" i="2"/>
  <c r="U12" i="2"/>
  <c r="V12" i="2"/>
  <c r="AC12" i="2"/>
  <c r="K12" i="2"/>
  <c r="L12" i="2"/>
  <c r="M12" i="2"/>
  <c r="M5" i="2" l="1"/>
  <c r="M6" i="2"/>
  <c r="M7" i="2"/>
  <c r="M8" i="2"/>
  <c r="M9" i="2"/>
  <c r="M10" i="2"/>
  <c r="M11" i="2"/>
  <c r="M4" i="2"/>
  <c r="W12" i="2"/>
  <c r="X12" i="2"/>
  <c r="Z12" i="2"/>
  <c r="W13" i="2"/>
  <c r="X13" i="2"/>
  <c r="Z13" i="2"/>
  <c r="W14" i="2"/>
  <c r="X14" i="2"/>
  <c r="Z14" i="2"/>
  <c r="W15" i="2"/>
  <c r="X15" i="2"/>
  <c r="Z15" i="2"/>
  <c r="W11" i="2"/>
  <c r="Y11" i="2" s="1"/>
  <c r="AA11" i="2" s="1"/>
  <c r="AB11" i="2" s="1"/>
  <c r="U11" i="2"/>
  <c r="V11" i="2"/>
  <c r="X11" i="2"/>
  <c r="AC11" i="2"/>
  <c r="K11" i="2"/>
  <c r="L11" i="2"/>
  <c r="Z11" i="2"/>
  <c r="Y15" i="2" l="1"/>
  <c r="AA15" i="2" s="1"/>
  <c r="AB15" i="2" s="1"/>
  <c r="Y14" i="2"/>
  <c r="AA14" i="2"/>
  <c r="AB14" i="2" s="1"/>
  <c r="Y13" i="2"/>
  <c r="AA13" i="2" s="1"/>
  <c r="Y12" i="2"/>
  <c r="AA12" i="2" s="1"/>
  <c r="W10" i="2"/>
  <c r="X10" i="2"/>
  <c r="Y10" i="2" s="1"/>
  <c r="Z10" i="2"/>
  <c r="AA10" i="2" s="1"/>
  <c r="AB10" i="2" s="1"/>
  <c r="AC10" i="2"/>
  <c r="U10" i="2"/>
  <c r="V10" i="2"/>
  <c r="K10" i="2"/>
  <c r="L10" i="2"/>
  <c r="AC5" i="2" l="1"/>
  <c r="AC18" i="2" s="1"/>
  <c r="AC6" i="2"/>
  <c r="AC7" i="2"/>
  <c r="AC8" i="2"/>
  <c r="AC9" i="2"/>
  <c r="AC4" i="2"/>
  <c r="AD18" i="2"/>
  <c r="H9" i="2"/>
  <c r="H4" i="2"/>
  <c r="H5" i="2"/>
  <c r="H6" i="2"/>
  <c r="H7" i="2"/>
  <c r="H8" i="2"/>
  <c r="H10" i="2"/>
  <c r="H11" i="2"/>
  <c r="H12" i="2"/>
  <c r="H13" i="2"/>
  <c r="H14" i="2"/>
  <c r="H15" i="2"/>
  <c r="B18" i="2"/>
  <c r="S18" i="2"/>
  <c r="T18" i="2"/>
  <c r="R18" i="2"/>
  <c r="Q18" i="2"/>
  <c r="P18" i="2"/>
  <c r="N18" i="2"/>
  <c r="O18" i="2"/>
  <c r="Z5" i="2"/>
  <c r="Z6" i="2"/>
  <c r="Z7" i="2"/>
  <c r="Z8" i="2"/>
  <c r="Z9" i="2"/>
  <c r="Z4" i="2"/>
  <c r="Z18" i="2" s="1"/>
  <c r="W5" i="2"/>
  <c r="W6" i="2"/>
  <c r="W7" i="2"/>
  <c r="W8" i="2"/>
  <c r="W9" i="2"/>
  <c r="W4" i="2"/>
  <c r="V4" i="2"/>
  <c r="V18" i="2" s="1"/>
  <c r="V5" i="2"/>
  <c r="V6" i="2"/>
  <c r="V7" i="2"/>
  <c r="V8" i="2"/>
  <c r="V9" i="2"/>
  <c r="W18" i="2" l="1"/>
  <c r="J18" i="2"/>
  <c r="D22" i="2" s="1"/>
  <c r="I18" i="2"/>
  <c r="E22" i="2" s="1"/>
  <c r="D18" i="2"/>
  <c r="E18" i="2"/>
  <c r="F18" i="2"/>
  <c r="G18" i="2"/>
  <c r="C18" i="2"/>
  <c r="K4" i="2"/>
  <c r="K5" i="2"/>
  <c r="K6" i="2"/>
  <c r="K7" i="2"/>
  <c r="K8" i="2"/>
  <c r="K9" i="2"/>
  <c r="C22" i="2" l="1"/>
  <c r="U5" i="2"/>
  <c r="X5" i="2" s="1"/>
  <c r="Y5" i="2" s="1"/>
  <c r="AA5" i="2" s="1"/>
  <c r="L5" i="2"/>
  <c r="U9" i="2"/>
  <c r="X9" i="2" s="1"/>
  <c r="Y9" i="2" s="1"/>
  <c r="AA9" i="2" s="1"/>
  <c r="AB9" i="2" s="1"/>
  <c r="AB18" i="2" s="1"/>
  <c r="L9" i="2"/>
  <c r="U4" i="2"/>
  <c r="L4" i="2"/>
  <c r="U8" i="2"/>
  <c r="X8" i="2" s="1"/>
  <c r="Y8" i="2" s="1"/>
  <c r="AA8" i="2" s="1"/>
  <c r="L8" i="2"/>
  <c r="U7" i="2"/>
  <c r="X7" i="2" s="1"/>
  <c r="Y7" i="2" s="1"/>
  <c r="AA7" i="2" s="1"/>
  <c r="L7" i="2"/>
  <c r="U6" i="2"/>
  <c r="X6" i="2" s="1"/>
  <c r="Y6" i="2" s="1"/>
  <c r="AA6" i="2" s="1"/>
  <c r="L6" i="2"/>
  <c r="K18" i="2"/>
  <c r="F22" i="2" s="1"/>
  <c r="U18" i="2" l="1"/>
  <c r="X4" i="2"/>
  <c r="L18" i="2"/>
  <c r="G22" i="2" l="1"/>
  <c r="M18" i="2"/>
  <c r="X18" i="2"/>
  <c r="Y4" i="2"/>
  <c r="AA4" i="2" l="1"/>
  <c r="AA18" i="2" s="1"/>
  <c r="G24" i="2" s="1"/>
  <c r="O22" i="2" s="1"/>
  <c r="Y18" i="2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  <author>tc={76BFE69C-7F47-48F2-A438-4C262BA666B7}</author>
    <author>tc={3B4F1765-4E89-4343-A705-3C134C1B6F43}</author>
  </authors>
  <commentList>
    <comment ref="B3" authorId="0" shapeId="0" xr:uid="{1B664088-23FD-473D-8C06-557FDE18B3AE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27EED85-12D4-4FB8-999B-283256D9139C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94518D0C-87B2-4D35-8B5F-545DB98B6FE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B3" authorId="0" shapeId="0" xr:uid="{B02FA356-B083-43AD-ABF5-E9CEB24B2DF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D3" authorId="0" shapeId="0" xr:uid="{2971E639-60A4-4DF2-84FB-60FBFF742701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  <comment ref="H9" authorId="1" shapeId="0" xr:uid="{76BFE69C-7F47-48F2-A438-4C262BA666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22 days of production (adjusted accordingly)</t>
      </text>
    </comment>
    <comment ref="B11" authorId="2" shapeId="0" xr:uid="{3B4F1765-4E89-4343-A705-3C134C1B6F43}">
      <text>
        <t>[Threaded comment]
Your version of Excel allows you to read this threaded comment; however, any edits to it will get removed if the file is opened in a newer version of Excel. Learn more: https://go.microsoft.com/fwlink/?linkid=870924
Comment:
    Few more cells where added, value is original 19.11kWp</t>
      </text>
    </comment>
  </commentList>
</comments>
</file>

<file path=xl/sharedStrings.xml><?xml version="1.0" encoding="utf-8"?>
<sst xmlns="http://schemas.openxmlformats.org/spreadsheetml/2006/main" count="90" uniqueCount="64">
  <si>
    <t>kWh</t>
  </si>
  <si>
    <t>SolarEdge</t>
  </si>
  <si>
    <t>E.On</t>
  </si>
  <si>
    <t>Consumption (Wh)</t>
  </si>
  <si>
    <t>Export (Wh)</t>
  </si>
  <si>
    <t>Import (Wh)</t>
  </si>
  <si>
    <t>Self Consumption (Wh)</t>
  </si>
  <si>
    <t>System Production (Wh)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</si>
  <si>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</si>
  <si>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</si>
  <si>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</si>
  <si>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</si>
  <si>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</si>
  <si>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</si>
  <si>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</si>
  <si>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</si>
  <si>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</si>
  <si>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</si>
  <si>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</si>
  <si>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</si>
  <si>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Data from SolarEdge Dashboard (exported per year)</t>
  </si>
  <si>
    <t>Sold (kWh)</t>
  </si>
  <si>
    <t>Real Consumption (kWh)</t>
  </si>
  <si>
    <t>Sum</t>
  </si>
  <si>
    <t>E.On data</t>
  </si>
  <si>
    <t>Fee electricity (inc. VAT)</t>
  </si>
  <si>
    <t>Fee Grid (inc. VAT)</t>
  </si>
  <si>
    <t>Buy price
(per kWh)</t>
  </si>
  <si>
    <t>Distribution</t>
  </si>
  <si>
    <t>Tax</t>
  </si>
  <si>
    <t>Sell Price</t>
  </si>
  <si>
    <t>Loss reemb.</t>
  </si>
  <si>
    <t>Data from E.On invoice</t>
  </si>
  <si>
    <t>Profit sale</t>
  </si>
  <si>
    <t>Savings by solarcells</t>
  </si>
  <si>
    <t>Net payback</t>
  </si>
  <si>
    <t>Tax return</t>
  </si>
  <si>
    <t>Virtual electricity cost (SEK)</t>
  </si>
  <si>
    <t>Actual Electricity Cost (SEK)</t>
  </si>
  <si>
    <t>SEK</t>
  </si>
  <si>
    <t>Öre/KWh</t>
  </si>
  <si>
    <t>Total payback</t>
  </si>
  <si>
    <t>Estimated Production (kWh)</t>
  </si>
  <si>
    <t>Outcome vs Estimate</t>
  </si>
  <si>
    <t>Value per produced kWh (to SolarEdge Dashboard)</t>
  </si>
  <si>
    <t>Production Total</t>
  </si>
  <si>
    <t>Total Sold</t>
  </si>
  <si>
    <t>Total Bought</t>
  </si>
  <si>
    <t>Total Consumption</t>
  </si>
  <si>
    <t>Bought (kWh)</t>
  </si>
  <si>
    <t>Self consumption (kWh)</t>
  </si>
  <si>
    <t>Total Self Consumption</t>
  </si>
  <si>
    <t>Total value of solar cell production 2020</t>
  </si>
  <si>
    <t>Intrest cost investment (SEK)</t>
  </si>
  <si>
    <t>Total value of solar cells after intrest 2020</t>
  </si>
  <si>
    <t>Calculated values</t>
  </si>
  <si>
    <t>The values below are calculated from data to the left</t>
  </si>
  <si>
    <t>Data from E.on website</t>
  </si>
  <si>
    <t>Sold
EC + UG 2020</t>
  </si>
  <si>
    <t>(update if and when a sale is made)</t>
  </si>
  <si>
    <t>Cost of bought kWh</t>
  </si>
  <si>
    <t>Average SEK/kWh incl. EC+UG</t>
  </si>
  <si>
    <t>(enter this value into SolarEdge Dashboard per 2020-01-01)</t>
  </si>
  <si>
    <t>Percentage of selfconsumption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</si>
</sst>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kr&quot;_-;\-* #,##0.00\ &quot;kr&quot;_-;_-* &quot;-&quot;??\ &quot;kr&quot;_-;_-@_-"/>
    <numFmt numFmtId="164" formatCode="0.0000"/>
    <numFmt numFmtId="165" formatCode="0.0%"/>
    <numFmt numFmtId="166" formatCode="_-* #,##0.00\ &quot;kr&quot;_-;\-* #,##0.00\ &quot;kr&quot;_-;_-* &quot;-&quot;????\ &quot;kr&quot;_-;_-@_-"/>
    <numFmt numFmtId="167" formatCode="_-* #,##0.000\ &quot;kr&quot;_-;\-* #,##0.000\ &quot;kr&quot;_-;_-* &quot;-&quot;??\ &quot;kr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21CC7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1CC72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2" fontId="0" fillId="6" borderId="0" xfId="0" applyNumberFormat="1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2" fontId="0" fillId="8" borderId="0" xfId="0" applyNumberFormat="1" applyFill="1"/>
    <xf numFmtId="1" fontId="0" fillId="9" borderId="0" xfId="0" applyNumberFormat="1" applyFill="1"/>
    <xf numFmtId="0" fontId="5" fillId="0" borderId="0" xfId="0" applyFont="1" applyAlignment="1">
      <alignment horizontal="right" vertical="center" wrapText="1"/>
    </xf>
    <xf numFmtId="165" fontId="0" fillId="2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0" fillId="0" borderId="7" xfId="0" applyBorder="1"/>
    <xf numFmtId="0" fontId="0" fillId="0" borderId="8" xfId="0" applyBorder="1"/>
    <xf numFmtId="44" fontId="0" fillId="0" borderId="8" xfId="1" applyFont="1" applyBorder="1" applyAlignment="1"/>
    <xf numFmtId="0" fontId="0" fillId="0" borderId="9" xfId="0" applyBorder="1"/>
    <xf numFmtId="0" fontId="2" fillId="0" borderId="5" xfId="0" applyFont="1" applyBorder="1"/>
    <xf numFmtId="0" fontId="8" fillId="0" borderId="0" xfId="0" applyFont="1"/>
    <xf numFmtId="44" fontId="9" fillId="9" borderId="0" xfId="1" applyFont="1" applyFill="1"/>
    <xf numFmtId="164" fontId="0" fillId="6" borderId="0" xfId="0" applyNumberFormat="1" applyFill="1"/>
    <xf numFmtId="0" fontId="2" fillId="10" borderId="0" xfId="0" applyFont="1" applyFill="1" applyAlignment="1">
      <alignment wrapText="1"/>
    </xf>
    <xf numFmtId="0" fontId="0" fillId="11" borderId="0" xfId="0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6" fontId="13" fillId="11" borderId="6" xfId="0" applyNumberFormat="1" applyFont="1" applyFill="1" applyBorder="1"/>
    <xf numFmtId="44" fontId="13" fillId="11" borderId="6" xfId="1" applyFont="1" applyFill="1" applyBorder="1" applyAlignment="1"/>
    <xf numFmtId="9" fontId="0" fillId="9" borderId="0" xfId="2" applyFont="1" applyFill="1"/>
    <xf numFmtId="9" fontId="2" fillId="0" borderId="0" xfId="2" applyFont="1" applyFill="1"/>
    <xf numFmtId="0" fontId="14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wrapText="1"/>
    </xf>
    <xf numFmtId="167" fontId="9" fillId="9" borderId="0" xfId="0" applyNumberFormat="1" applyFont="1" applyFill="1" applyAlignment="1">
      <alignment horizontal="center"/>
    </xf>
    <xf numFmtId="0" fontId="15" fillId="2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nus Pernemark" id="{D9B1315B-F406-4F34-B1AC-A9B4C068D828}" userId="S::magnus.pernemark@evry.com::3d6e99da-d1b8-46ff-806b-3424a54f5a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7-06T22:23:19.89" personId="{D9B1315B-F406-4F34-B1AC-A9B4C068D828}" id="{76BFE69C-7F47-48F2-A438-4C262BA666B7}">
    <text>Only 22 days of production (adjusted accordingly)</text>
  </threadedComment>
  <threadedComment ref="B11" dT="2020-09-07T18:17:49.06" personId="{D9B1315B-F406-4F34-B1AC-A9B4C068D828}" id="{3B4F1765-4E89-4343-A705-3C134C1B6F43}">
    <text>Few more cells where added, value is original 19.11kWp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3E28-38CC-4E14-8F03-C1FE1A23361C}">
  <dimension ref="A1:AF28"/>
  <sheetViews>
    <sheetView tabSelected="1" workbookViewId="0">
      <selection activeCell="AB20" sqref="AB20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1.7109375" customWidth="1"/>
    <col min="22" max="22" width="10.28515625" customWidth="1"/>
    <col min="23" max="23" width="11" customWidth="1"/>
    <col min="25" max="25" width="11.5703125" customWidth="1"/>
    <col min="26" max="26" width="10" bestFit="1" customWidth="1"/>
    <col min="27" max="27" width="13.28515625" bestFit="1" customWidth="1"/>
    <col min="28" max="29" width="15.85546875" customWidth="1"/>
    <col min="30" max="30" width="11.85546875" customWidth="1"/>
  </cols>
  <sheetData>
    <row r="1" spans="1:32" x14ac:dyDescent="0.25">
      <c r="A1" s="10">
        <v>2020</v>
      </c>
      <c r="B1" s="10"/>
      <c r="C1" s="53" t="s">
        <v>1</v>
      </c>
      <c r="D1" s="53"/>
      <c r="E1" s="53"/>
      <c r="F1" s="53"/>
      <c r="G1" s="53"/>
      <c r="H1" s="53"/>
      <c r="I1" s="53" t="s">
        <v>2</v>
      </c>
      <c r="J1" s="53"/>
      <c r="K1" s="4"/>
      <c r="L1" s="4"/>
      <c r="M1" s="4"/>
      <c r="N1" s="53" t="s">
        <v>24</v>
      </c>
      <c r="O1" s="53"/>
      <c r="P1" s="53"/>
      <c r="Q1" s="53"/>
      <c r="R1" s="53"/>
      <c r="S1" s="53"/>
      <c r="T1" s="53"/>
      <c r="U1" s="53" t="s">
        <v>55</v>
      </c>
      <c r="V1" s="53"/>
      <c r="W1" s="53"/>
      <c r="X1" s="53"/>
      <c r="Y1" s="53"/>
      <c r="Z1" s="53"/>
      <c r="AA1" s="53"/>
      <c r="AB1" s="53"/>
      <c r="AC1" s="53"/>
    </row>
    <row r="2" spans="1:32" x14ac:dyDescent="0.25">
      <c r="C2" s="54" t="s">
        <v>20</v>
      </c>
      <c r="D2" s="54"/>
      <c r="E2" s="54"/>
      <c r="F2" s="54"/>
      <c r="G2" s="54"/>
      <c r="H2" s="54"/>
      <c r="I2" s="54" t="s">
        <v>57</v>
      </c>
      <c r="J2" s="54"/>
      <c r="N2" s="54" t="s">
        <v>32</v>
      </c>
      <c r="O2" s="54"/>
      <c r="P2" s="54"/>
      <c r="Q2" s="54"/>
      <c r="R2" s="54"/>
      <c r="S2" s="54"/>
      <c r="T2" s="54"/>
      <c r="U2" s="54" t="s">
        <v>56</v>
      </c>
      <c r="V2" s="54"/>
      <c r="W2" s="54"/>
      <c r="X2" s="54"/>
      <c r="Y2" s="54"/>
      <c r="Z2" s="54"/>
      <c r="AA2" s="54"/>
      <c r="AB2" s="54"/>
      <c r="AC2" s="54"/>
    </row>
    <row r="3" spans="1:32" s="4" customFormat="1" ht="63.75" customHeight="1" x14ac:dyDescent="0.25">
      <c r="B3" s="11" t="s">
        <v>42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43</v>
      </c>
      <c r="I3" s="9" t="s">
        <v>49</v>
      </c>
      <c r="J3" s="9" t="s">
        <v>21</v>
      </c>
      <c r="K3" s="9" t="s">
        <v>22</v>
      </c>
      <c r="L3" s="9" t="s">
        <v>50</v>
      </c>
      <c r="M3" s="9" t="s">
        <v>63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2" t="s">
        <v>37</v>
      </c>
      <c r="V3" s="12" t="s">
        <v>38</v>
      </c>
      <c r="W3" s="13" t="s">
        <v>33</v>
      </c>
      <c r="X3" s="12" t="s">
        <v>34</v>
      </c>
      <c r="Y3" s="13" t="s">
        <v>35</v>
      </c>
      <c r="Z3" s="13" t="s">
        <v>36</v>
      </c>
      <c r="AA3" s="13" t="s">
        <v>41</v>
      </c>
      <c r="AB3" s="12" t="s">
        <v>44</v>
      </c>
      <c r="AC3" s="12" t="s">
        <v>60</v>
      </c>
      <c r="AD3" s="36" t="s">
        <v>53</v>
      </c>
      <c r="AE3" s="11"/>
      <c r="AF3" s="11"/>
    </row>
    <row r="4" spans="1:32" x14ac:dyDescent="0.25">
      <c r="A4" s="2" t="s">
        <v>8</v>
      </c>
      <c r="B4" s="21">
        <v>211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2">
        <f>(G4/1000)/B4</f>
        <v>0</v>
      </c>
      <c r="I4" s="7">
        <v>2451</v>
      </c>
      <c r="J4" s="7">
        <v>0</v>
      </c>
      <c r="K4" s="20">
        <f t="shared" ref="K4:K15" si="0">(G4/1000)+I4-J4</f>
        <v>2451</v>
      </c>
      <c r="L4" s="20">
        <f>K4-I4</f>
        <v>0</v>
      </c>
      <c r="M4" s="50">
        <f>L4/K4</f>
        <v>0</v>
      </c>
      <c r="N4" s="18">
        <v>0</v>
      </c>
      <c r="O4" s="18">
        <v>383.75</v>
      </c>
      <c r="P4" s="19">
        <v>36.5</v>
      </c>
      <c r="Q4" s="19">
        <v>14.4</v>
      </c>
      <c r="R4" s="19">
        <v>44.13</v>
      </c>
      <c r="S4" s="19"/>
      <c r="T4" s="19"/>
      <c r="U4" s="14">
        <f>(K4*(P4+Q4+R4)/100)+N4+O4</f>
        <v>2712.9353000000001</v>
      </c>
      <c r="V4" s="14">
        <f t="shared" ref="V4:V8" si="1">(I4*(P4+Q4+R4)/100)+N4+O4</f>
        <v>2712.9353000000001</v>
      </c>
      <c r="W4" s="14">
        <f>J4*(S4+T4)/100</f>
        <v>0</v>
      </c>
      <c r="X4" s="14">
        <f t="shared" ref="X4:X8" si="2">U4-V4</f>
        <v>0</v>
      </c>
      <c r="Y4" s="14">
        <f>W4+X4</f>
        <v>0</v>
      </c>
      <c r="Z4" s="15">
        <f>J4*0.6</f>
        <v>0</v>
      </c>
      <c r="AA4" s="14">
        <f>Z4+Y4</f>
        <v>0</v>
      </c>
      <c r="AB4" s="15"/>
      <c r="AC4" s="35">
        <f>(P4+Q4+R4)/100</f>
        <v>0.95030000000000003</v>
      </c>
      <c r="AD4" s="37">
        <v>0</v>
      </c>
    </row>
    <row r="5" spans="1:32" x14ac:dyDescent="0.25">
      <c r="A5" s="2" t="s">
        <v>9</v>
      </c>
      <c r="B5" s="21">
        <v>509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2">
        <f>(G5/1000)/B5</f>
        <v>0</v>
      </c>
      <c r="I5" s="7">
        <v>2291</v>
      </c>
      <c r="J5" s="7">
        <v>0</v>
      </c>
      <c r="K5" s="20">
        <f t="shared" si="0"/>
        <v>2291</v>
      </c>
      <c r="L5" s="20">
        <f t="shared" ref="L5:L15" si="3">K5-I5</f>
        <v>0</v>
      </c>
      <c r="M5" s="50">
        <f t="shared" ref="M5:M18" si="4">L5/K5</f>
        <v>0</v>
      </c>
      <c r="N5" s="18">
        <v>0</v>
      </c>
      <c r="O5" s="18">
        <v>383.75</v>
      </c>
      <c r="P5" s="19">
        <v>30.19</v>
      </c>
      <c r="Q5" s="19">
        <v>14.4</v>
      </c>
      <c r="R5" s="19">
        <v>44.13</v>
      </c>
      <c r="S5" s="19"/>
      <c r="T5" s="19"/>
      <c r="U5" s="14">
        <f t="shared" ref="U5:U15" si="5">(K5*(P5+Q5+R5)/100)+N5+O5</f>
        <v>2416.3252000000002</v>
      </c>
      <c r="V5" s="14">
        <f t="shared" si="1"/>
        <v>2416.3252000000002</v>
      </c>
      <c r="W5" s="14">
        <f t="shared" ref="W5:W9" si="6">J5*(S5+T5)/100</f>
        <v>0</v>
      </c>
      <c r="X5" s="14">
        <f t="shared" si="2"/>
        <v>0</v>
      </c>
      <c r="Y5" s="14">
        <f t="shared" ref="Y5:Y9" si="7">W5+X5</f>
        <v>0</v>
      </c>
      <c r="Z5" s="15">
        <f t="shared" ref="Z5:Z9" si="8">J5*0.6</f>
        <v>0</v>
      </c>
      <c r="AA5" s="14">
        <f t="shared" ref="AA5:AA9" si="9">Z5+Y5</f>
        <v>0</v>
      </c>
      <c r="AB5" s="15"/>
      <c r="AC5" s="35">
        <f t="shared" ref="AC5:AC9" si="10">(P5+Q5+R5)/100</f>
        <v>0.88719999999999999</v>
      </c>
      <c r="AD5" s="37">
        <v>0</v>
      </c>
    </row>
    <row r="6" spans="1:32" x14ac:dyDescent="0.25">
      <c r="A6" s="2" t="s">
        <v>10</v>
      </c>
      <c r="B6" s="21">
        <v>1223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2">
        <f>(G6/1000)/B6</f>
        <v>0</v>
      </c>
      <c r="I6" s="7">
        <v>2233</v>
      </c>
      <c r="J6" s="7">
        <v>0</v>
      </c>
      <c r="K6" s="20">
        <f t="shared" si="0"/>
        <v>2233</v>
      </c>
      <c r="L6" s="20">
        <f t="shared" si="3"/>
        <v>0</v>
      </c>
      <c r="M6" s="50">
        <f t="shared" si="4"/>
        <v>0</v>
      </c>
      <c r="N6" s="18">
        <v>0</v>
      </c>
      <c r="O6" s="18">
        <v>383.75</v>
      </c>
      <c r="P6" s="19">
        <v>24.06</v>
      </c>
      <c r="Q6" s="19">
        <v>14.4</v>
      </c>
      <c r="R6" s="19">
        <v>44.13</v>
      </c>
      <c r="S6" s="19"/>
      <c r="T6" s="19"/>
      <c r="U6" s="14">
        <f t="shared" si="5"/>
        <v>2227.9847</v>
      </c>
      <c r="V6" s="14">
        <f t="shared" si="1"/>
        <v>2227.9847</v>
      </c>
      <c r="W6" s="14">
        <f t="shared" si="6"/>
        <v>0</v>
      </c>
      <c r="X6" s="14">
        <f t="shared" si="2"/>
        <v>0</v>
      </c>
      <c r="Y6" s="14">
        <f t="shared" si="7"/>
        <v>0</v>
      </c>
      <c r="Z6" s="15">
        <f t="shared" si="8"/>
        <v>0</v>
      </c>
      <c r="AA6" s="14">
        <f t="shared" si="9"/>
        <v>0</v>
      </c>
      <c r="AB6" s="15"/>
      <c r="AC6" s="35">
        <f t="shared" si="10"/>
        <v>0.82590000000000008</v>
      </c>
      <c r="AD6" s="37">
        <v>0</v>
      </c>
    </row>
    <row r="7" spans="1:32" x14ac:dyDescent="0.25">
      <c r="A7" s="2" t="s">
        <v>11</v>
      </c>
      <c r="B7" s="21">
        <v>1988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2">
        <f>(G7/1000)/B7</f>
        <v>0</v>
      </c>
      <c r="I7" s="7">
        <v>1664</v>
      </c>
      <c r="J7" s="7">
        <v>0</v>
      </c>
      <c r="K7" s="20">
        <f t="shared" si="0"/>
        <v>1664</v>
      </c>
      <c r="L7" s="20">
        <f t="shared" si="3"/>
        <v>0</v>
      </c>
      <c r="M7" s="50">
        <f t="shared" si="4"/>
        <v>0</v>
      </c>
      <c r="N7" s="18">
        <v>0</v>
      </c>
      <c r="O7" s="18">
        <v>383.75</v>
      </c>
      <c r="P7" s="19">
        <v>17.059999999999999</v>
      </c>
      <c r="Q7" s="19">
        <v>14.4</v>
      </c>
      <c r="R7" s="19">
        <v>44.13</v>
      </c>
      <c r="S7" s="19"/>
      <c r="T7" s="19"/>
      <c r="U7" s="14">
        <f t="shared" si="5"/>
        <v>1641.5676000000001</v>
      </c>
      <c r="V7" s="14">
        <f t="shared" si="1"/>
        <v>1641.5676000000001</v>
      </c>
      <c r="W7" s="14">
        <f t="shared" si="6"/>
        <v>0</v>
      </c>
      <c r="X7" s="14">
        <f t="shared" si="2"/>
        <v>0</v>
      </c>
      <c r="Y7" s="14">
        <f t="shared" si="7"/>
        <v>0</v>
      </c>
      <c r="Z7" s="15">
        <f t="shared" si="8"/>
        <v>0</v>
      </c>
      <c r="AA7" s="14">
        <f t="shared" si="9"/>
        <v>0</v>
      </c>
      <c r="AB7" s="15"/>
      <c r="AC7" s="35">
        <f t="shared" si="10"/>
        <v>0.75590000000000002</v>
      </c>
      <c r="AD7" s="37">
        <v>0</v>
      </c>
    </row>
    <row r="8" spans="1:32" x14ac:dyDescent="0.25">
      <c r="A8" s="2" t="s">
        <v>12</v>
      </c>
      <c r="B8" s="21">
        <v>2769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2">
        <f>(G8/1000)/B8</f>
        <v>0</v>
      </c>
      <c r="I8" s="7">
        <v>1456</v>
      </c>
      <c r="J8" s="7">
        <v>0</v>
      </c>
      <c r="K8" s="20">
        <f t="shared" si="0"/>
        <v>1456</v>
      </c>
      <c r="L8" s="20">
        <f t="shared" si="3"/>
        <v>0</v>
      </c>
      <c r="M8" s="50">
        <f t="shared" si="4"/>
        <v>0</v>
      </c>
      <c r="N8" s="18">
        <v>0</v>
      </c>
      <c r="O8" s="18">
        <v>383.75</v>
      </c>
      <c r="P8" s="19">
        <v>22.54</v>
      </c>
      <c r="Q8" s="19">
        <v>14.4</v>
      </c>
      <c r="R8" s="19">
        <v>44.13</v>
      </c>
      <c r="S8" s="19"/>
      <c r="T8" s="19"/>
      <c r="U8" s="14">
        <f t="shared" si="5"/>
        <v>1564.1291999999999</v>
      </c>
      <c r="V8" s="14">
        <f t="shared" si="1"/>
        <v>1564.1291999999999</v>
      </c>
      <c r="W8" s="14">
        <f t="shared" si="6"/>
        <v>0</v>
      </c>
      <c r="X8" s="14">
        <f t="shared" si="2"/>
        <v>0</v>
      </c>
      <c r="Y8" s="14">
        <f t="shared" si="7"/>
        <v>0</v>
      </c>
      <c r="Z8" s="15">
        <f t="shared" si="8"/>
        <v>0</v>
      </c>
      <c r="AA8" s="14">
        <f t="shared" si="9"/>
        <v>0</v>
      </c>
      <c r="AB8" s="15"/>
      <c r="AC8" s="35">
        <f t="shared" si="10"/>
        <v>0.81069999999999998</v>
      </c>
      <c r="AD8" s="37">
        <v>300</v>
      </c>
    </row>
    <row r="9" spans="1:32" x14ac:dyDescent="0.25">
      <c r="A9" s="2" t="s">
        <v>13</v>
      </c>
      <c r="B9" s="21">
        <v>2686</v>
      </c>
      <c r="C9" s="3">
        <v>1040437</v>
      </c>
      <c r="D9" s="3">
        <v>1949813</v>
      </c>
      <c r="E9" s="3">
        <v>502351</v>
      </c>
      <c r="F9" s="3">
        <v>538086</v>
      </c>
      <c r="G9" s="3">
        <v>2490290</v>
      </c>
      <c r="H9" s="22">
        <f>(G9/1000)/(B9*22/30)</f>
        <v>1.26427773641102</v>
      </c>
      <c r="I9" s="7">
        <v>372</v>
      </c>
      <c r="J9" s="7">
        <v>1865</v>
      </c>
      <c r="K9" s="20">
        <f t="shared" si="0"/>
        <v>997.29</v>
      </c>
      <c r="L9" s="20">
        <f t="shared" si="3"/>
        <v>625.29</v>
      </c>
      <c r="M9" s="50">
        <f t="shared" si="4"/>
        <v>0.62698914057094723</v>
      </c>
      <c r="N9" s="18">
        <v>0</v>
      </c>
      <c r="O9" s="18">
        <v>383.75</v>
      </c>
      <c r="P9" s="19">
        <v>37.08</v>
      </c>
      <c r="Q9" s="19">
        <v>14.4</v>
      </c>
      <c r="R9" s="19">
        <v>44.13</v>
      </c>
      <c r="S9" s="19">
        <v>45.66</v>
      </c>
      <c r="T9" s="19">
        <v>2.92</v>
      </c>
      <c r="U9" s="14">
        <f t="shared" si="5"/>
        <v>1337.258969</v>
      </c>
      <c r="V9" s="14">
        <f>(I9*(P9+Q9+R9)/100)+N9+O9</f>
        <v>739.41920000000005</v>
      </c>
      <c r="W9" s="14">
        <f t="shared" si="6"/>
        <v>906.01699999999994</v>
      </c>
      <c r="X9" s="14">
        <f>U9-V9</f>
        <v>597.83976899999993</v>
      </c>
      <c r="Y9" s="14">
        <f t="shared" si="7"/>
        <v>1503.856769</v>
      </c>
      <c r="Z9" s="15">
        <f t="shared" si="8"/>
        <v>1119</v>
      </c>
      <c r="AA9" s="14">
        <f t="shared" si="9"/>
        <v>2622.856769</v>
      </c>
      <c r="AB9" s="35">
        <f>AA9/(G9/1000)</f>
        <v>1.0532334663834333</v>
      </c>
      <c r="AC9" s="35">
        <f t="shared" si="10"/>
        <v>0.95609999999999995</v>
      </c>
      <c r="AD9" s="37">
        <v>300</v>
      </c>
    </row>
    <row r="10" spans="1:32" x14ac:dyDescent="0.25">
      <c r="A10" s="2" t="s">
        <v>14</v>
      </c>
      <c r="B10" s="21">
        <v>2604</v>
      </c>
      <c r="C10" s="3">
        <v>903294</v>
      </c>
      <c r="D10" s="3">
        <v>2114410</v>
      </c>
      <c r="E10" s="3">
        <v>379041</v>
      </c>
      <c r="F10" s="3">
        <v>509224</v>
      </c>
      <c r="G10" s="3">
        <v>2627765</v>
      </c>
      <c r="H10" s="22">
        <f t="shared" ref="H10:H15" si="11">(G10/1000)/B10</f>
        <v>1.0091263440860214</v>
      </c>
      <c r="I10" s="7">
        <v>303</v>
      </c>
      <c r="J10" s="7">
        <v>1991</v>
      </c>
      <c r="K10" s="20">
        <f t="shared" si="0"/>
        <v>939.76499999999987</v>
      </c>
      <c r="L10" s="20">
        <f t="shared" si="3"/>
        <v>636.76499999999987</v>
      </c>
      <c r="M10" s="50">
        <f t="shared" si="4"/>
        <v>0.67757896921038763</v>
      </c>
      <c r="N10" s="18">
        <v>0</v>
      </c>
      <c r="O10" s="18">
        <v>383.75</v>
      </c>
      <c r="P10" s="19">
        <v>17.03</v>
      </c>
      <c r="Q10" s="19">
        <v>14.4</v>
      </c>
      <c r="R10" s="19">
        <v>44.13</v>
      </c>
      <c r="S10" s="19">
        <v>21.45</v>
      </c>
      <c r="T10" s="18">
        <v>2.92</v>
      </c>
      <c r="U10" s="14">
        <f t="shared" si="5"/>
        <v>1093.8364339999998</v>
      </c>
      <c r="V10" s="14">
        <f>(I10*(P10+Q10+R10)/100)+N10+O10</f>
        <v>612.69679999999994</v>
      </c>
      <c r="W10" s="14">
        <f t="shared" ref="W10:W15" si="12">J10*(S10+T10)/100</f>
        <v>485.20669999999996</v>
      </c>
      <c r="X10" s="14">
        <f>U10-V10</f>
        <v>481.13963399999989</v>
      </c>
      <c r="Y10" s="14">
        <f t="shared" ref="Y10:Y11" si="13">W10+X10</f>
        <v>966.34633399999984</v>
      </c>
      <c r="Z10" s="15">
        <f t="shared" ref="Z10:Z11" si="14">J10*0.6</f>
        <v>1194.5999999999999</v>
      </c>
      <c r="AA10" s="14">
        <f t="shared" ref="AA10:AA15" si="15">Z10+Y10</f>
        <v>2160.9463339999998</v>
      </c>
      <c r="AB10" s="35">
        <f>AA10/(G10/1000)</f>
        <v>0.82235144086324308</v>
      </c>
      <c r="AC10" s="35">
        <f t="shared" ref="AC10:AC15" si="16">(P10+Q10+R10)/100</f>
        <v>0.75560000000000005</v>
      </c>
      <c r="AD10" s="37">
        <v>300</v>
      </c>
    </row>
    <row r="11" spans="1:32" x14ac:dyDescent="0.25">
      <c r="A11" s="2" t="s">
        <v>15</v>
      </c>
      <c r="B11" s="21">
        <v>2173</v>
      </c>
      <c r="C11" s="3">
        <v>911026</v>
      </c>
      <c r="D11" s="3">
        <v>1885712</v>
      </c>
      <c r="E11" s="3">
        <v>345331</v>
      </c>
      <c r="F11" s="3">
        <v>565695</v>
      </c>
      <c r="G11" s="3">
        <v>2451407</v>
      </c>
      <c r="H11" s="22">
        <f t="shared" si="11"/>
        <v>1.1281210308329499</v>
      </c>
      <c r="I11" s="7">
        <v>345</v>
      </c>
      <c r="J11" s="7">
        <v>1882</v>
      </c>
      <c r="K11" s="20">
        <f t="shared" si="0"/>
        <v>914.40700000000015</v>
      </c>
      <c r="L11" s="20">
        <f t="shared" si="3"/>
        <v>569.40700000000015</v>
      </c>
      <c r="M11" s="50">
        <f t="shared" si="4"/>
        <v>0.62270630036734198</v>
      </c>
      <c r="N11" s="18">
        <v>0</v>
      </c>
      <c r="O11" s="18">
        <v>383.75</v>
      </c>
      <c r="P11" s="19">
        <v>50.91</v>
      </c>
      <c r="Q11" s="19">
        <v>14.4</v>
      </c>
      <c r="R11" s="19">
        <v>44.13</v>
      </c>
      <c r="S11" s="19">
        <v>54.63</v>
      </c>
      <c r="T11" s="18">
        <v>2.92</v>
      </c>
      <c r="U11" s="14">
        <f t="shared" si="5"/>
        <v>1384.4770208000002</v>
      </c>
      <c r="V11" s="14">
        <f>(I11*(P11+Q11+R11)/100)+N11+O11</f>
        <v>761.31799999999998</v>
      </c>
      <c r="W11" s="14">
        <f t="shared" si="12"/>
        <v>1083.0910000000001</v>
      </c>
      <c r="X11" s="15">
        <f>U11-V11</f>
        <v>623.15902080000023</v>
      </c>
      <c r="Y11" s="14">
        <f t="shared" si="13"/>
        <v>1706.2500208000004</v>
      </c>
      <c r="Z11" s="15">
        <f t="shared" si="14"/>
        <v>1129.2</v>
      </c>
      <c r="AA11" s="14">
        <f t="shared" si="15"/>
        <v>2835.4500208000004</v>
      </c>
      <c r="AB11" s="35">
        <f>AA11/(G11/1000)</f>
        <v>1.1566622844758134</v>
      </c>
      <c r="AC11" s="15">
        <f t="shared" si="16"/>
        <v>1.0944</v>
      </c>
      <c r="AD11" s="37">
        <v>300</v>
      </c>
    </row>
    <row r="12" spans="1:32" x14ac:dyDescent="0.25">
      <c r="A12" s="2" t="s">
        <v>16</v>
      </c>
      <c r="B12" s="52">
        <v>1649</v>
      </c>
      <c r="C12" s="3">
        <v>963500</v>
      </c>
      <c r="D12" s="3">
        <v>1021839</v>
      </c>
      <c r="E12" s="3">
        <v>540904</v>
      </c>
      <c r="F12" s="3">
        <v>422596</v>
      </c>
      <c r="G12" s="3">
        <v>1444435</v>
      </c>
      <c r="H12" s="22">
        <f t="shared" si="11"/>
        <v>0.87594602789569431</v>
      </c>
      <c r="I12" s="7">
        <v>541</v>
      </c>
      <c r="J12" s="7">
        <v>1021</v>
      </c>
      <c r="K12" s="20">
        <f t="shared" si="0"/>
        <v>964.43499999999995</v>
      </c>
      <c r="L12" s="20">
        <f t="shared" si="3"/>
        <v>423.43499999999995</v>
      </c>
      <c r="M12" s="50">
        <f t="shared" si="4"/>
        <v>0.43904980636331115</v>
      </c>
      <c r="N12" s="18">
        <v>0</v>
      </c>
      <c r="O12" s="18">
        <v>383.75</v>
      </c>
      <c r="P12" s="19">
        <v>49.69</v>
      </c>
      <c r="Q12" s="19">
        <v>14.4</v>
      </c>
      <c r="R12" s="19">
        <v>44.13</v>
      </c>
      <c r="S12" s="19">
        <v>48.24</v>
      </c>
      <c r="T12" s="18">
        <v>2.92</v>
      </c>
      <c r="U12" s="14">
        <f t="shared" si="5"/>
        <v>1427.4615569999999</v>
      </c>
      <c r="V12" s="14">
        <f>(I12*(P12+Q12+R12)/100)+N12+O12</f>
        <v>969.22019999999998</v>
      </c>
      <c r="W12" s="14">
        <f t="shared" si="12"/>
        <v>522.34360000000004</v>
      </c>
      <c r="X12" s="15">
        <f t="shared" ref="X12:X15" si="17">U12-V12</f>
        <v>458.24135699999988</v>
      </c>
      <c r="Y12" s="14">
        <f t="shared" ref="Y12:Y15" si="18">W12+X12</f>
        <v>980.58495699999992</v>
      </c>
      <c r="Z12" s="15">
        <f>J12*0.6</f>
        <v>612.6</v>
      </c>
      <c r="AA12" s="14">
        <f t="shared" si="15"/>
        <v>1593.1849569999999</v>
      </c>
      <c r="AB12" s="35">
        <f>AA12/(G12/1000)</f>
        <v>1.1029814128015452</v>
      </c>
      <c r="AC12" s="15">
        <f t="shared" si="16"/>
        <v>1.0822000000000001</v>
      </c>
      <c r="AD12" s="37">
        <v>300</v>
      </c>
    </row>
    <row r="13" spans="1:32" x14ac:dyDescent="0.25">
      <c r="A13" s="2" t="s">
        <v>17</v>
      </c>
      <c r="B13" s="52">
        <v>785</v>
      </c>
      <c r="C13" s="3">
        <v>1288599</v>
      </c>
      <c r="D13" s="3">
        <v>286301</v>
      </c>
      <c r="E13" s="3">
        <v>950187</v>
      </c>
      <c r="F13" s="3">
        <v>338412</v>
      </c>
      <c r="G13" s="3">
        <v>624713</v>
      </c>
      <c r="H13" s="22">
        <f t="shared" si="11"/>
        <v>0.79581273885350312</v>
      </c>
      <c r="I13" s="7">
        <v>953</v>
      </c>
      <c r="J13" s="7">
        <v>286</v>
      </c>
      <c r="K13" s="20">
        <f t="shared" si="0"/>
        <v>1291.713</v>
      </c>
      <c r="L13" s="20">
        <f t="shared" si="3"/>
        <v>338.71299999999997</v>
      </c>
      <c r="M13" s="50">
        <f t="shared" si="4"/>
        <v>0.26222001326920141</v>
      </c>
      <c r="N13" s="18">
        <v>0</v>
      </c>
      <c r="O13" s="18">
        <v>383.75</v>
      </c>
      <c r="P13" s="19">
        <v>35</v>
      </c>
      <c r="Q13" s="19">
        <v>14.4</v>
      </c>
      <c r="R13" s="19">
        <v>44.13</v>
      </c>
      <c r="S13" s="19">
        <v>42.49</v>
      </c>
      <c r="T13" s="18">
        <v>2.92</v>
      </c>
      <c r="U13" s="14">
        <f t="shared" si="5"/>
        <v>1591.8891689</v>
      </c>
      <c r="V13" s="14">
        <f>(I13*(P13+Q13+R13)/100)+N13+O13</f>
        <v>1275.0908999999999</v>
      </c>
      <c r="W13" s="14">
        <f t="shared" si="12"/>
        <v>129.87260000000001</v>
      </c>
      <c r="X13" s="15">
        <f t="shared" si="17"/>
        <v>316.79826890000004</v>
      </c>
      <c r="Y13" s="14">
        <f t="shared" si="18"/>
        <v>446.67086890000007</v>
      </c>
      <c r="Z13" s="15">
        <f>J13*0.6</f>
        <v>171.6</v>
      </c>
      <c r="AA13" s="14">
        <f t="shared" si="15"/>
        <v>618.2708689000001</v>
      </c>
      <c r="AB13" s="35">
        <f>AA13/(G13/1000)</f>
        <v>0.98968785490297162</v>
      </c>
      <c r="AC13" s="15">
        <f t="shared" si="16"/>
        <v>0.93530000000000002</v>
      </c>
      <c r="AD13" s="37">
        <v>300</v>
      </c>
    </row>
    <row r="14" spans="1:32" x14ac:dyDescent="0.25">
      <c r="A14" s="2" t="s">
        <v>18</v>
      </c>
      <c r="B14" s="52">
        <v>252</v>
      </c>
      <c r="C14" s="57">
        <v>1639463</v>
      </c>
      <c r="D14" s="57">
        <v>39270</v>
      </c>
      <c r="E14" s="57">
        <v>1511986</v>
      </c>
      <c r="F14" s="57">
        <v>127477</v>
      </c>
      <c r="G14" s="57">
        <v>166747</v>
      </c>
      <c r="H14" s="22">
        <f t="shared" si="11"/>
        <v>0.66169444444444447</v>
      </c>
      <c r="I14" s="7">
        <v>1512</v>
      </c>
      <c r="J14" s="7">
        <v>39</v>
      </c>
      <c r="K14" s="20">
        <f t="shared" si="0"/>
        <v>1639.7470000000001</v>
      </c>
      <c r="L14" s="20">
        <f t="shared" si="3"/>
        <v>127.74700000000007</v>
      </c>
      <c r="M14" s="50">
        <f t="shared" si="4"/>
        <v>7.7906530702602325E-2</v>
      </c>
      <c r="N14" s="18">
        <v>0</v>
      </c>
      <c r="O14" s="18">
        <v>383.75</v>
      </c>
      <c r="P14" s="19">
        <v>39.33</v>
      </c>
      <c r="Q14" s="19">
        <v>14.4</v>
      </c>
      <c r="R14" s="19">
        <v>44.13</v>
      </c>
      <c r="S14" s="19">
        <v>34.31</v>
      </c>
      <c r="T14" s="18">
        <v>2.92</v>
      </c>
      <c r="U14" s="14">
        <f t="shared" si="5"/>
        <v>1988.4064142</v>
      </c>
      <c r="V14" s="14">
        <f>(I14*(P14+Q14+R14)/100)+N14+O14</f>
        <v>1863.3932</v>
      </c>
      <c r="W14" s="14">
        <f t="shared" si="12"/>
        <v>14.519700000000002</v>
      </c>
      <c r="X14" s="15">
        <f t="shared" si="17"/>
        <v>125.01321419999999</v>
      </c>
      <c r="Y14" s="14">
        <f t="shared" si="18"/>
        <v>139.53291419999999</v>
      </c>
      <c r="Z14" s="15">
        <f>J14*0.6</f>
        <v>23.4</v>
      </c>
      <c r="AA14" s="14">
        <f t="shared" si="15"/>
        <v>162.9329142</v>
      </c>
      <c r="AB14" s="35">
        <f t="shared" ref="AB14:AB15" si="19">AA14/(G14/1000)</f>
        <v>0.97712651022207286</v>
      </c>
      <c r="AC14" s="15">
        <f t="shared" si="16"/>
        <v>0.97860000000000003</v>
      </c>
      <c r="AD14" s="37">
        <v>300</v>
      </c>
    </row>
    <row r="15" spans="1:32" x14ac:dyDescent="0.25">
      <c r="A15" s="2" t="s">
        <v>19</v>
      </c>
      <c r="B15" s="52">
        <v>129</v>
      </c>
      <c r="C15" s="57">
        <v>1968326</v>
      </c>
      <c r="D15" s="57">
        <v>440</v>
      </c>
      <c r="E15" s="57">
        <v>1943394</v>
      </c>
      <c r="F15" s="57">
        <v>24932</v>
      </c>
      <c r="G15" s="57">
        <v>25372</v>
      </c>
      <c r="H15" s="22">
        <f t="shared" si="11"/>
        <v>0.19668217054263565</v>
      </c>
      <c r="I15" s="7">
        <v>1943</v>
      </c>
      <c r="J15" s="7">
        <v>0.16400000000000001</v>
      </c>
      <c r="K15" s="20">
        <f t="shared" si="0"/>
        <v>1968.2080000000001</v>
      </c>
      <c r="L15" s="20">
        <f t="shared" si="3"/>
        <v>25.208000000000084</v>
      </c>
      <c r="M15" s="50">
        <f t="shared" si="4"/>
        <v>1.2807589441766359E-2</v>
      </c>
      <c r="N15" s="18">
        <v>0</v>
      </c>
      <c r="O15" s="18">
        <v>383.75</v>
      </c>
      <c r="P15" s="19">
        <v>46.06</v>
      </c>
      <c r="Q15" s="19">
        <v>14.4</v>
      </c>
      <c r="R15" s="19">
        <v>44.13</v>
      </c>
      <c r="S15" s="19">
        <v>30.45</v>
      </c>
      <c r="T15" s="18">
        <v>2.92</v>
      </c>
      <c r="U15" s="14">
        <f t="shared" si="5"/>
        <v>2442.2987472000004</v>
      </c>
      <c r="V15" s="14">
        <f>(I15*(P15+Q15+R15)/100)+N15+O15</f>
        <v>2415.9337</v>
      </c>
      <c r="W15" s="14">
        <f t="shared" si="12"/>
        <v>5.4726799999999992E-2</v>
      </c>
      <c r="X15" s="15">
        <f t="shared" si="17"/>
        <v>26.36504720000039</v>
      </c>
      <c r="Y15" s="14">
        <f t="shared" si="18"/>
        <v>26.419774000000391</v>
      </c>
      <c r="Z15" s="15">
        <f>J15*0.6</f>
        <v>9.8400000000000001E-2</v>
      </c>
      <c r="AA15" s="14">
        <f t="shared" si="15"/>
        <v>26.518174000000393</v>
      </c>
      <c r="AB15" s="35">
        <f t="shared" si="19"/>
        <v>1.0451747595775025</v>
      </c>
      <c r="AC15" s="15">
        <f t="shared" si="16"/>
        <v>1.0459000000000001</v>
      </c>
      <c r="AD15" s="37">
        <v>300</v>
      </c>
    </row>
    <row r="16" spans="1:32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8"/>
      <c r="U16" s="14"/>
      <c r="V16" s="14"/>
      <c r="W16" s="14"/>
      <c r="X16" s="15"/>
      <c r="Y16" s="14"/>
      <c r="Z16" s="15"/>
      <c r="AA16" s="14"/>
      <c r="AB16" s="35"/>
      <c r="AC16" s="15"/>
      <c r="AD16" s="37"/>
    </row>
    <row r="17" spans="1:30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39</v>
      </c>
      <c r="O17" s="39" t="s">
        <v>39</v>
      </c>
      <c r="P17" s="39" t="s">
        <v>40</v>
      </c>
      <c r="Q17" s="39" t="s">
        <v>40</v>
      </c>
      <c r="R17" s="39" t="s">
        <v>40</v>
      </c>
      <c r="S17" s="39" t="s">
        <v>40</v>
      </c>
      <c r="T17" s="39" t="s">
        <v>40</v>
      </c>
      <c r="U17" s="39" t="s">
        <v>39</v>
      </c>
      <c r="V17" s="39" t="s">
        <v>39</v>
      </c>
      <c r="W17" s="39" t="s">
        <v>39</v>
      </c>
      <c r="X17" s="39" t="s">
        <v>39</v>
      </c>
      <c r="Y17" s="39" t="s">
        <v>39</v>
      </c>
      <c r="Z17" s="39" t="s">
        <v>39</v>
      </c>
      <c r="AA17" s="39" t="s">
        <v>39</v>
      </c>
      <c r="AB17" s="39" t="s">
        <v>39</v>
      </c>
      <c r="AC17" s="39" t="s">
        <v>39</v>
      </c>
      <c r="AD17" s="39" t="s">
        <v>39</v>
      </c>
    </row>
    <row r="18" spans="1:30" ht="15.75" x14ac:dyDescent="0.25">
      <c r="A18" s="40" t="s">
        <v>23</v>
      </c>
      <c r="B18" s="41">
        <f>SUM(B4:B17)</f>
        <v>16978</v>
      </c>
      <c r="C18" s="42">
        <f>SUM(C4:C17)/1000</f>
        <v>8714.6450000000004</v>
      </c>
      <c r="D18" s="42">
        <f>SUM(D4:D17)/1000</f>
        <v>7297.7849999999999</v>
      </c>
      <c r="E18" s="42">
        <f>SUM(E4:E17)/1000</f>
        <v>6173.1940000000004</v>
      </c>
      <c r="F18" s="42">
        <f>SUM(F4:F17)/1000</f>
        <v>2526.422</v>
      </c>
      <c r="G18" s="42">
        <f>SUM(G4:G17)/1000</f>
        <v>9830.7289999999994</v>
      </c>
      <c r="H18" s="42"/>
      <c r="I18" s="43">
        <f t="shared" ref="I18:O18" si="20">SUM(I4:I15)</f>
        <v>16064</v>
      </c>
      <c r="J18" s="43">
        <f t="shared" si="20"/>
        <v>7084.1639999999998</v>
      </c>
      <c r="K18" s="43">
        <f t="shared" si="20"/>
        <v>18810.564999999999</v>
      </c>
      <c r="L18" s="43">
        <f t="shared" si="20"/>
        <v>2746.5650000000001</v>
      </c>
      <c r="M18" s="51">
        <f t="shared" si="4"/>
        <v>0.14601182899078258</v>
      </c>
      <c r="N18" s="43">
        <f t="shared" si="20"/>
        <v>0</v>
      </c>
      <c r="O18" s="44">
        <f t="shared" si="20"/>
        <v>4605</v>
      </c>
      <c r="P18" s="44">
        <f>AVERAGE(P4:P15)</f>
        <v>33.787500000000001</v>
      </c>
      <c r="Q18" s="44">
        <f>AVERAGE(Q4:Q15)</f>
        <v>14.400000000000004</v>
      </c>
      <c r="R18" s="44">
        <f>AVERAGE(R4:R15)</f>
        <v>44.13</v>
      </c>
      <c r="S18" s="44">
        <f>AVERAGE(S4:S15)</f>
        <v>39.604285714285716</v>
      </c>
      <c r="T18" s="44">
        <f>AVERAGE(T4:T15)</f>
        <v>2.9199999999999995</v>
      </c>
      <c r="U18" s="44">
        <f t="shared" ref="U18:AA18" si="21">SUM(U4:U15)</f>
        <v>21828.570311099997</v>
      </c>
      <c r="V18" s="44">
        <f t="shared" si="21"/>
        <v>19200.013999999999</v>
      </c>
      <c r="W18" s="44">
        <f t="shared" si="21"/>
        <v>3141.1053268000001</v>
      </c>
      <c r="X18" s="44">
        <f t="shared" si="21"/>
        <v>2628.5563111000006</v>
      </c>
      <c r="Y18" s="44">
        <f t="shared" si="21"/>
        <v>5769.6616378999997</v>
      </c>
      <c r="Z18" s="44">
        <f t="shared" si="21"/>
        <v>4250.4983999999995</v>
      </c>
      <c r="AA18" s="44">
        <f t="shared" si="21"/>
        <v>10020.160037900003</v>
      </c>
      <c r="AB18" s="45">
        <f>AVERAGE(AB4:AB15)</f>
        <v>1.021031104175226</v>
      </c>
      <c r="AC18" s="45">
        <f>AVERAGE(AC4:AC15)</f>
        <v>0.92317500000000008</v>
      </c>
      <c r="AD18" s="44">
        <f>SUM(AD4:AD15)</f>
        <v>2400</v>
      </c>
    </row>
    <row r="19" spans="1:30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30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30" ht="36.75" customHeight="1" thickBot="1" x14ac:dyDescent="0.35">
      <c r="C21" s="46" t="s">
        <v>45</v>
      </c>
      <c r="D21" s="46" t="s">
        <v>46</v>
      </c>
      <c r="E21" s="46" t="s">
        <v>47</v>
      </c>
      <c r="F21" s="46" t="s">
        <v>48</v>
      </c>
      <c r="G21" s="46" t="s">
        <v>51</v>
      </c>
      <c r="I21" s="6"/>
      <c r="J21" s="6"/>
      <c r="K21" s="8" t="s">
        <v>58</v>
      </c>
      <c r="L21" s="6"/>
      <c r="M21" s="6"/>
      <c r="N21" s="6"/>
      <c r="O21" s="55" t="s">
        <v>61</v>
      </c>
      <c r="P21" s="55"/>
      <c r="Q21" s="6"/>
      <c r="R21" s="6"/>
      <c r="S21" s="6"/>
      <c r="T21" s="6"/>
      <c r="U21" s="6"/>
    </row>
    <row r="22" spans="1:30" ht="17.25" thickTop="1" thickBot="1" x14ac:dyDescent="0.3">
      <c r="C22" s="47">
        <f>G18</f>
        <v>9830.7289999999994</v>
      </c>
      <c r="D22" s="47">
        <f>J18</f>
        <v>7084.1639999999998</v>
      </c>
      <c r="E22" s="47">
        <f>I18</f>
        <v>16064</v>
      </c>
      <c r="F22" s="47">
        <f>K18</f>
        <v>18810.564999999999</v>
      </c>
      <c r="G22" s="47">
        <f>L18</f>
        <v>2746.5650000000001</v>
      </c>
      <c r="H22" t="s">
        <v>0</v>
      </c>
      <c r="I22" s="6"/>
      <c r="J22" s="6"/>
      <c r="K22" s="34">
        <v>0</v>
      </c>
      <c r="L22" s="6"/>
      <c r="M22" s="6"/>
      <c r="N22" s="6"/>
      <c r="O22" s="56">
        <f>G24/(G18)</f>
        <v>1.0192692767647245</v>
      </c>
      <c r="P22" s="56"/>
      <c r="Q22" s="6"/>
      <c r="R22" s="6"/>
      <c r="S22" s="6"/>
      <c r="T22" s="6"/>
      <c r="U22" s="6"/>
    </row>
    <row r="23" spans="1:30" x14ac:dyDescent="0.25">
      <c r="C23" s="23"/>
      <c r="D23" s="24"/>
      <c r="E23" s="24"/>
      <c r="F23" s="24"/>
      <c r="G23" s="25"/>
      <c r="K23" s="33" t="s">
        <v>59</v>
      </c>
      <c r="O23" s="5" t="s">
        <v>62</v>
      </c>
    </row>
    <row r="24" spans="1:30" ht="21" x14ac:dyDescent="0.35">
      <c r="C24" s="26" t="s">
        <v>52</v>
      </c>
      <c r="D24" s="27"/>
      <c r="E24" s="27"/>
      <c r="F24" s="27"/>
      <c r="G24" s="49">
        <f>AA18+K22</f>
        <v>10020.160037900003</v>
      </c>
    </row>
    <row r="25" spans="1:30" ht="15.75" thickBot="1" x14ac:dyDescent="0.3">
      <c r="C25" s="28"/>
      <c r="D25" s="29"/>
      <c r="E25" s="30"/>
      <c r="F25" s="30"/>
      <c r="G25" s="31"/>
    </row>
    <row r="26" spans="1:30" x14ac:dyDescent="0.25">
      <c r="C26" s="23"/>
      <c r="D26" s="24"/>
      <c r="E26" s="24"/>
      <c r="F26" s="24"/>
      <c r="G26" s="25"/>
    </row>
    <row r="27" spans="1:30" ht="21" x14ac:dyDescent="0.35">
      <c r="C27" s="32" t="s">
        <v>54</v>
      </c>
      <c r="D27" s="1"/>
      <c r="E27" s="1"/>
      <c r="F27" s="1"/>
      <c r="G27" s="48">
        <f>G24-AD18</f>
        <v>7620.1600379000029</v>
      </c>
    </row>
    <row r="28" spans="1:30" ht="15.75" thickBot="1" x14ac:dyDescent="0.3">
      <c r="C28" s="28"/>
      <c r="D28" s="29"/>
      <c r="E28" s="29"/>
      <c r="F28" s="29"/>
      <c r="G28" s="31"/>
    </row>
  </sheetData>
  <mergeCells count="10">
    <mergeCell ref="O21:P21"/>
    <mergeCell ref="O22:P22"/>
    <mergeCell ref="U1:AC1"/>
    <mergeCell ref="U2:AC2"/>
    <mergeCell ref="I2:J2"/>
    <mergeCell ref="C1:H1"/>
    <mergeCell ref="C2:H2"/>
    <mergeCell ref="I1:J1"/>
    <mergeCell ref="N1:T1"/>
    <mergeCell ref="N2:T2"/>
  </mergeCells>
  <phoneticPr fontId="3" type="noConversion"/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Pernemark</dc:creator>
  <cp:lastModifiedBy>Magnus Pernemark</cp:lastModifiedBy>
  <dcterms:created xsi:type="dcterms:W3CDTF">2020-07-05T20:11:56Z</dcterms:created>
  <dcterms:modified xsi:type="dcterms:W3CDTF">2021-01-22T23:17:51Z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magnus.pernemark@evry.com</vt:lpwstr>
  </property>
  <property fmtid="{D5CDD505-2E9C-101B-9397-08002B2CF9AE}" pid="5" name="MSIP_Label_2fef85ea-3e38-424b-a536-85f7ca35fb6d_SetDate">
    <vt:lpwstr>2020-07-05T22:31:51.0838287Z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466c5535-62eb-4dbb-a276-dd3c23d94055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