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A0A68A80-8614-4182-BF54-253D59EAB069}" xr6:coauthVersionLast="45" xr6:coauthVersionMax="45" xr10:uidLastSave="{00000000-0000-0000-0000-000000000000}"/>
  <bookViews>
    <workbookView xWindow="-120" yWindow="-120" windowWidth="29040" windowHeight="15840" xr2:uid="{ECB3817B-AF73-4635-88B4-AD4DB6228D86}"/>
  </bookViews>
  <sheets>
    <sheet name="Electricity 2020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B5" i="2" l="1"/>
  <c r="AB18" i="2" s="1"/>
  <c r="AB6" i="2"/>
  <c r="AB7" i="2"/>
  <c r="AB8" i="2"/>
  <c r="AB9" i="2"/>
  <c r="AB4" i="2"/>
  <c r="AC18" i="2"/>
  <c r="H9" i="2"/>
  <c r="H4" i="2"/>
  <c r="H5" i="2"/>
  <c r="H6" i="2"/>
  <c r="H7" i="2"/>
  <c r="H8" i="2"/>
  <c r="H10" i="2"/>
  <c r="H11" i="2"/>
  <c r="H12" i="2"/>
  <c r="H13" i="2"/>
  <c r="H14" i="2"/>
  <c r="H15" i="2"/>
  <c r="B18" i="2"/>
  <c r="R18" i="2"/>
  <c r="S18" i="2"/>
  <c r="Q18" i="2"/>
  <c r="P18" i="2"/>
  <c r="O18" i="2"/>
  <c r="M18" i="2"/>
  <c r="N18" i="2"/>
  <c r="Y5" i="2"/>
  <c r="Y6" i="2"/>
  <c r="Y7" i="2"/>
  <c r="Y8" i="2"/>
  <c r="Y9" i="2"/>
  <c r="Y4" i="2"/>
  <c r="Y18" i="2" s="1"/>
  <c r="V5" i="2"/>
  <c r="V6" i="2"/>
  <c r="V7" i="2"/>
  <c r="V8" i="2"/>
  <c r="V9" i="2"/>
  <c r="V4" i="2"/>
  <c r="U4" i="2"/>
  <c r="U18" i="2" s="1"/>
  <c r="U5" i="2"/>
  <c r="U6" i="2"/>
  <c r="U7" i="2"/>
  <c r="U8" i="2"/>
  <c r="U9" i="2"/>
  <c r="V18" i="2" l="1"/>
  <c r="J18" i="2"/>
  <c r="D22" i="2" s="1"/>
  <c r="I18" i="2"/>
  <c r="E22" i="2" s="1"/>
  <c r="D18" i="2"/>
  <c r="E18" i="2"/>
  <c r="F18" i="2"/>
  <c r="G18" i="2"/>
  <c r="C22" i="2" s="1"/>
  <c r="C18" i="2"/>
  <c r="K4" i="2"/>
  <c r="K5" i="2"/>
  <c r="K6" i="2"/>
  <c r="K7" i="2"/>
  <c r="K8" i="2"/>
  <c r="K9" i="2"/>
  <c r="T5" i="2" l="1"/>
  <c r="W5" i="2" s="1"/>
  <c r="X5" i="2" s="1"/>
  <c r="Z5" i="2" s="1"/>
  <c r="L5" i="2"/>
  <c r="T9" i="2"/>
  <c r="W9" i="2" s="1"/>
  <c r="X9" i="2" s="1"/>
  <c r="Z9" i="2" s="1"/>
  <c r="AA9" i="2" s="1"/>
  <c r="AA18" i="2" s="1"/>
  <c r="L9" i="2"/>
  <c r="T4" i="2"/>
  <c r="L4" i="2"/>
  <c r="T8" i="2"/>
  <c r="W8" i="2" s="1"/>
  <c r="X8" i="2" s="1"/>
  <c r="Z8" i="2" s="1"/>
  <c r="L8" i="2"/>
  <c r="T7" i="2"/>
  <c r="W7" i="2" s="1"/>
  <c r="X7" i="2" s="1"/>
  <c r="Z7" i="2" s="1"/>
  <c r="L7" i="2"/>
  <c r="T6" i="2"/>
  <c r="W6" i="2" s="1"/>
  <c r="X6" i="2" s="1"/>
  <c r="Z6" i="2" s="1"/>
  <c r="L6" i="2"/>
  <c r="K18" i="2"/>
  <c r="F22" i="2" s="1"/>
  <c r="T18" i="2" l="1"/>
  <c r="W4" i="2"/>
  <c r="L18" i="2"/>
  <c r="G22" i="2" s="1"/>
  <c r="W18" i="2" l="1"/>
  <c r="X4" i="2"/>
  <c r="Z4" i="2" l="1"/>
  <c r="Z18" i="2" s="1"/>
  <c r="G24" i="2" s="1"/>
  <c r="X18" i="2"/>
  <c r="G27" i="2" l="1"/>
  <c r="N2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Magnus Pernemark</author>
    <author>tc={76BFE69C-7F47-48F2-A438-4C262BA666B7}</author>
  </authors>
  <commentList>
    <comment ref="B3" authorId="0" shapeId="0" xr:uid="{1B664088-23FD-473D-8C06-557FDE18B3AE}">
      <text>
        <r>
          <rPr>
            <b/>
            <sz val="9"/>
            <color indexed="81"/>
            <rFont val="Tahoma"/>
            <family val="2"/>
          </rPr>
          <t>Magnus Pernemark:</t>
        </r>
        <r>
          <rPr>
            <sz val="9"/>
            <color indexed="81"/>
            <rFont val="Tahoma"/>
            <family val="2"/>
          </rPr>
          <t xml:space="preserve">
Data is from SolarEdge Designer. If you do't have thiese values, do an estimate</t>
        </r>
      </text>
    </comment>
    <comment ref="K3" authorId="0" shapeId="0" xr:uid="{C27EED85-12D4-4FB8-999B-283256D9139C}">
      <text>
        <r>
          <rPr>
            <b/>
            <sz val="9"/>
            <color indexed="81"/>
            <rFont val="Tahoma"/>
            <family val="2"/>
          </rPr>
          <t>Magnus Pernemark:</t>
        </r>
        <r>
          <rPr>
            <sz val="9"/>
            <color indexed="81"/>
            <rFont val="Tahoma"/>
            <family val="2"/>
          </rPr>
          <t xml:space="preserve">
Calculated from production plus bought minus sold.
If a meter is used, use that value</t>
        </r>
      </text>
    </comment>
    <comment ref="L3" authorId="0" shapeId="0" xr:uid="{94518D0C-87B2-4D35-8B5F-545DB98B6FE5}">
      <text>
        <r>
          <rPr>
            <b/>
            <sz val="9"/>
            <color indexed="81"/>
            <rFont val="Tahoma"/>
            <family val="2"/>
          </rPr>
          <t>Magnus Pernemark:</t>
        </r>
        <r>
          <rPr>
            <sz val="9"/>
            <color indexed="81"/>
            <rFont val="Tahoma"/>
            <family val="2"/>
          </rPr>
          <t xml:space="preserve">
Calculated value from produced vs bought and sold
</t>
        </r>
      </text>
    </comment>
    <comment ref="AA3" authorId="0" shapeId="0" xr:uid="{B02FA356-B083-43AD-ABF5-E9CEB24B2DF3}">
      <text>
        <r>
          <rPr>
            <b/>
            <sz val="9"/>
            <color indexed="81"/>
            <rFont val="Tahoma"/>
            <family val="2"/>
          </rPr>
          <t>Magnus Pernemark:</t>
        </r>
        <r>
          <rPr>
            <sz val="9"/>
            <color indexed="81"/>
            <rFont val="Tahoma"/>
            <family val="2"/>
          </rPr>
          <t xml:space="preserve">
Enter this value into SolarEdge Monitor platform at Flat Rate</t>
        </r>
      </text>
    </comment>
    <comment ref="AC3" authorId="0" shapeId="0" xr:uid="{2971E639-60A4-4DF2-84FB-60FBFF742701}">
      <text>
        <r>
          <rPr>
            <b/>
            <sz val="9"/>
            <color indexed="81"/>
            <rFont val="Tahoma"/>
            <family val="2"/>
          </rPr>
          <t>Magnus Pernemark:</t>
        </r>
        <r>
          <rPr>
            <sz val="9"/>
            <color indexed="81"/>
            <rFont val="Tahoma"/>
            <family val="2"/>
          </rPr>
          <t xml:space="preserve">
If solar cells are bought with borrowed money, enter intrest cost after tax deduction</t>
        </r>
      </text>
    </comment>
    <comment ref="H9" authorId="1" shapeId="0" xr:uid="{76BFE69C-7F47-48F2-A438-4C262BA666B7}">
      <text>
        <t>[Threaded comment]
Your version of Excel allows you to read this threaded comment; however, any edits to it will get removed if the file is opened in a newer version of Excel. Learn more: https://go.microsoft.com/fwlink/?linkid=870924
Comment:
    Only 22 days of production (adjusted accordingly)</t>
      </text>
    </comment>
  </commentList>
</comments>
</file>

<file path=xl/sharedStrings.xml><?xml version="1.0" encoding="utf-8"?>
<sst xmlns="http://schemas.openxmlformats.org/spreadsheetml/2006/main" count="88" uniqueCount="63">
  <si>
    <t>kWh</t>
  </si>
  <si>
    <t>SolarEdge</t>
  </si>
  <si>
    <t>E.On</t>
  </si>
  <si>
    <t>Consumption (Wh)</t>
  </si>
  <si>
    <t>Export (Wh)</t>
  </si>
  <si>
    <t>Import (Wh)</t>
  </si>
  <si>
    <t>Self Consumption (Wh)</t>
  </si>
  <si>
    <t>System Production (Wh)</t>
  </si>
  <si>
    <t>Jan</t>
  </si>
  <si>
    <t>Feb</t>
  </si>
  <si>
    <t>Mar</t>
  </si>
  <si>
    <t>Apr</t>
  </si>
  <si>
    <t>Maj</t>
  </si>
  <si>
    <t>Jun</t>
  </si>
  <si>
    <t>Jul</t>
  </si>
  <si>
    <t>Aug</t>
  </si>
  <si>
    <t>Sep</t>
  </si>
  <si>
    <t>Okt</t>
  </si>
  <si>
    <t>Nov</t>
  </si>
  <si>
    <t>Dec</t>
  </si>
  <si>
    <t>Data from SolarEdge Dashboard (exported per year)</t>
  </si>
  <si>
    <t>Sold (kWh)</t>
  </si>
  <si>
    <t>Real Consumption (kWh)</t>
  </si>
  <si>
    <t>Sum</t>
  </si>
  <si>
    <t>E.On data</t>
  </si>
  <si>
    <t>Fee electricity (inc. VAT)</t>
  </si>
  <si>
    <t>Fee Grid (inc. VAT)</t>
  </si>
  <si>
    <t>Buy price
(per kWh)</t>
  </si>
  <si>
    <t>Distribution</t>
  </si>
  <si>
    <t>Tax</t>
  </si>
  <si>
    <t>Sell Price</t>
  </si>
  <si>
    <t>Loss reemb.</t>
  </si>
  <si>
    <t>Data from E.On invoice</t>
  </si>
  <si>
    <t>Profit sale</t>
  </si>
  <si>
    <t>Savings by solarcells</t>
  </si>
  <si>
    <t>Net payback</t>
  </si>
  <si>
    <t>Tax return</t>
  </si>
  <si>
    <t>Virtual electricity cost (SEK)</t>
  </si>
  <si>
    <t>Actual Electricity Cost (SEK)</t>
  </si>
  <si>
    <t>SEK</t>
  </si>
  <si>
    <t>Öre/KWh</t>
  </si>
  <si>
    <t>Total payback</t>
  </si>
  <si>
    <t>Estimated Production (kWh)</t>
  </si>
  <si>
    <t>Outcome vs Estimate</t>
  </si>
  <si>
    <t>Value per produced kWh (to SolarEdge Dashboard)</t>
  </si>
  <si>
    <t>Production Total</t>
  </si>
  <si>
    <t>Total Sold</t>
  </si>
  <si>
    <t>Total Bought</t>
  </si>
  <si>
    <t>Total Consumption</t>
  </si>
  <si>
    <t>Bought (kWh)</t>
  </si>
  <si>
    <t>Self consumption (kWh)</t>
  </si>
  <si>
    <t>Total Self Consumption</t>
  </si>
  <si>
    <t>Total value of solar cell production 2020</t>
  </si>
  <si>
    <t>Intrest cost investment (SEK)</t>
  </si>
  <si>
    <t>Total value of solar cells after intrest 2020</t>
  </si>
  <si>
    <t>Calculated values</t>
  </si>
  <si>
    <t>The values below are calculated from data to the left</t>
  </si>
  <si>
    <t>Data from E.on website</t>
  </si>
  <si>
    <t>Sold
EC + UG 2020</t>
  </si>
  <si>
    <t>(update if and when a sale is made)</t>
  </si>
  <si>
    <t>Cost of bought kWh</t>
  </si>
  <si>
    <t>Average SEK/kWh incl. EC+UG</t>
  </si>
  <si>
    <t>(enter this value into SolarEdge Dashboard per 2020-01-01)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</si>
</sst>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* #,##0.00\ &quot;kr&quot;_-;\-* #,##0.00\ &quot;kr&quot;_-;_-* &quot;-&quot;??\ &quot;kr&quot;_-;_-@_-"/>
    <numFmt numFmtId="164" formatCode="0.0000"/>
    <numFmt numFmtId="165" formatCode="0.0%"/>
    <numFmt numFmtId="166" formatCode="_-* #,##0.00\ &quot;kr&quot;_-;\-* #,##0.00\ &quot;kr&quot;_-;_-* &quot;-&quot;????\ &quot;kr&quot;_-;_-@_-"/>
    <numFmt numFmtId="167" formatCode="_-* #,##0.000\ &quot;kr&quot;_-;\-* #,##0.000\ &quot;kr&quot;_-;_-* &quot;-&quot;??\ &quot;kr&quot;_-;_-@_-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sz val="11"/>
      <color rgb="FF21CC7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4">
    <xf numFmtId="0" fontId="0" fillId="0" borderId="0" xfId="0"/>
    <xf numFmtId="0" fontId="0" fillId="0" borderId="0" xfId="0" applyBorder="1"/>
    <xf numFmtId="14" fontId="0" fillId="0" borderId="0" xfId="0" applyNumberFormat="1"/>
    <xf numFmtId="0" fontId="0" fillId="2" borderId="0" xfId="0" applyFill="1"/>
    <xf numFmtId="0" fontId="2" fillId="0" borderId="0" xfId="0" applyFont="1"/>
    <xf numFmtId="0" fontId="4" fillId="0" borderId="0" xfId="0" applyFont="1"/>
    <xf numFmtId="0" fontId="0" fillId="0" borderId="0" xfId="0" applyFill="1"/>
    <xf numFmtId="0" fontId="0" fillId="3" borderId="0" xfId="0" applyFill="1"/>
    <xf numFmtId="0" fontId="2" fillId="0" borderId="0" xfId="0" applyFont="1" applyFill="1" applyAlignment="1">
      <alignment wrapText="1"/>
    </xf>
    <xf numFmtId="0" fontId="2" fillId="4" borderId="0" xfId="0" applyFont="1" applyFill="1" applyAlignment="1">
      <alignment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2" fillId="5" borderId="0" xfId="0" applyFont="1" applyFill="1" applyAlignment="1">
      <alignment wrapText="1"/>
    </xf>
    <xf numFmtId="0" fontId="2" fillId="5" borderId="0" xfId="0" applyFont="1" applyFill="1"/>
    <xf numFmtId="2" fontId="0" fillId="6" borderId="0" xfId="0" applyNumberFormat="1" applyFill="1"/>
    <xf numFmtId="0" fontId="0" fillId="6" borderId="0" xfId="0" applyFill="1"/>
    <xf numFmtId="0" fontId="2" fillId="7" borderId="0" xfId="0" applyFont="1" applyFill="1" applyAlignment="1">
      <alignment wrapText="1"/>
    </xf>
    <xf numFmtId="0" fontId="2" fillId="7" borderId="0" xfId="0" applyFont="1" applyFill="1"/>
    <xf numFmtId="0" fontId="0" fillId="8" borderId="0" xfId="0" applyFill="1"/>
    <xf numFmtId="2" fontId="0" fillId="8" borderId="0" xfId="0" applyNumberFormat="1" applyFill="1"/>
    <xf numFmtId="1" fontId="0" fillId="9" borderId="0" xfId="0" applyNumberFormat="1" applyFill="1"/>
    <xf numFmtId="0" fontId="5" fillId="0" borderId="0" xfId="0" applyFont="1" applyAlignment="1">
      <alignment horizontal="right" vertical="center" wrapText="1"/>
    </xf>
    <xf numFmtId="165" fontId="0" fillId="2" borderId="0" xfId="2" applyNumberFormat="1" applyFont="1" applyFill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2" fillId="0" borderId="5" xfId="0" applyFont="1" applyBorder="1" applyAlignment="1"/>
    <xf numFmtId="0" fontId="2" fillId="0" borderId="0" xfId="0" applyFont="1" applyBorder="1" applyAlignment="1"/>
    <xf numFmtId="0" fontId="0" fillId="0" borderId="7" xfId="0" applyBorder="1"/>
    <xf numFmtId="0" fontId="0" fillId="0" borderId="8" xfId="0" applyBorder="1"/>
    <xf numFmtId="44" fontId="0" fillId="0" borderId="8" xfId="1" applyFont="1" applyBorder="1" applyAlignment="1"/>
    <xf numFmtId="0" fontId="0" fillId="0" borderId="9" xfId="0" applyBorder="1"/>
    <xf numFmtId="0" fontId="2" fillId="0" borderId="5" xfId="0" applyFont="1" applyBorder="1"/>
    <xf numFmtId="0" fontId="8" fillId="0" borderId="0" xfId="0" applyFont="1"/>
    <xf numFmtId="44" fontId="9" fillId="9" borderId="0" xfId="1" applyFont="1" applyFill="1"/>
    <xf numFmtId="164" fontId="0" fillId="6" borderId="0" xfId="0" applyNumberFormat="1" applyFill="1"/>
    <xf numFmtId="0" fontId="2" fillId="10" borderId="0" xfId="0" applyFont="1" applyFill="1" applyAlignment="1">
      <alignment wrapText="1"/>
    </xf>
    <xf numFmtId="0" fontId="0" fillId="11" borderId="0" xfId="0" applyFill="1"/>
    <xf numFmtId="0" fontId="10" fillId="0" borderId="0" xfId="0" applyFont="1" applyAlignment="1">
      <alignment horizontal="center"/>
    </xf>
    <xf numFmtId="0" fontId="10" fillId="0" borderId="0" xfId="0" applyFont="1" applyFill="1" applyAlignment="1">
      <alignment horizontal="center"/>
    </xf>
    <xf numFmtId="0" fontId="11" fillId="0" borderId="0" xfId="0" applyFont="1"/>
    <xf numFmtId="0" fontId="11" fillId="0" borderId="0" xfId="0" applyFont="1" applyAlignment="1">
      <alignment horizontal="center"/>
    </xf>
    <xf numFmtId="1" fontId="11" fillId="0" borderId="0" xfId="0" applyNumberFormat="1" applyFont="1" applyAlignment="1">
      <alignment horizontal="center"/>
    </xf>
    <xf numFmtId="1" fontId="11" fillId="0" borderId="0" xfId="0" applyNumberFormat="1" applyFont="1" applyFill="1" applyAlignment="1">
      <alignment horizontal="center"/>
    </xf>
    <xf numFmtId="2" fontId="11" fillId="0" borderId="0" xfId="0" applyNumberFormat="1" applyFont="1" applyFill="1" applyAlignment="1">
      <alignment horizontal="center"/>
    </xf>
    <xf numFmtId="164" fontId="11" fillId="0" borderId="0" xfId="0" applyNumberFormat="1" applyFont="1" applyFill="1" applyAlignment="1">
      <alignment horizontal="center"/>
    </xf>
    <xf numFmtId="0" fontId="12" fillId="0" borderId="10" xfId="0" applyFont="1" applyBorder="1" applyAlignment="1">
      <alignment horizontal="center" wrapText="1"/>
    </xf>
    <xf numFmtId="1" fontId="9" fillId="0" borderId="1" xfId="0" applyNumberFormat="1" applyFont="1" applyBorder="1" applyAlignment="1">
      <alignment horizontal="center"/>
    </xf>
    <xf numFmtId="166" fontId="13" fillId="11" borderId="6" xfId="0" applyNumberFormat="1" applyFont="1" applyFill="1" applyBorder="1"/>
    <xf numFmtId="44" fontId="13" fillId="11" borderId="6" xfId="1" applyFont="1" applyFill="1" applyBorder="1" applyAlignment="1"/>
    <xf numFmtId="0" fontId="2" fillId="0" borderId="0" xfId="0" applyFont="1" applyFill="1" applyAlignment="1">
      <alignment horizontal="center" wrapText="1"/>
    </xf>
    <xf numFmtId="167" fontId="9" fillId="9" borderId="0" xfId="0" applyNumberFormat="1" applyFont="1" applyFill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agnus" id="{D9B1315B-F406-4F34-B1AC-A9B4C068D828}" userId="S::magnus.pernemark@evry.com::3d6e99da-d1b8-46ff-806b-3424a54f5ab4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9" dT="2020-07-06T22:23:19.89" personId="{D9B1315B-F406-4F34-B1AC-A9B4C068D828}" id="{76BFE69C-7F47-48F2-A438-4C262BA666B7}">
    <text>Only 22 days of production (adjusted accordingly)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23E28-38CC-4E14-8F03-C1FE1A23361C}">
  <dimension ref="A1:AC28"/>
  <sheetViews>
    <sheetView tabSelected="1" workbookViewId="0">
      <selection activeCell="I28" sqref="I28"/>
    </sheetView>
  </sheetViews>
  <sheetFormatPr defaultRowHeight="15" x14ac:dyDescent="0.25"/>
  <cols>
    <col min="1" max="2" width="12" customWidth="1"/>
    <col min="3" max="3" width="13.7109375" customWidth="1"/>
    <col min="4" max="4" width="9" customWidth="1"/>
    <col min="5" max="5" width="10.85546875" customWidth="1"/>
    <col min="6" max="6" width="18" customWidth="1"/>
    <col min="7" max="7" width="20.42578125" customWidth="1"/>
    <col min="8" max="8" width="11.85546875" customWidth="1"/>
    <col min="10" max="10" width="10.28515625" customWidth="1"/>
    <col min="11" max="12" width="13.28515625" customWidth="1"/>
    <col min="13" max="13" width="10.28515625" customWidth="1"/>
    <col min="15" max="15" width="10" bestFit="1" customWidth="1"/>
    <col min="16" max="16" width="11.5703125" bestFit="1" customWidth="1"/>
    <col min="17" max="19" width="9.28515625" bestFit="1" customWidth="1"/>
    <col min="20" max="20" width="11.7109375" customWidth="1"/>
    <col min="21" max="21" width="10.28515625" customWidth="1"/>
    <col min="22" max="22" width="11" customWidth="1"/>
    <col min="24" max="24" width="11.5703125" customWidth="1"/>
    <col min="25" max="25" width="10" bestFit="1" customWidth="1"/>
    <col min="26" max="26" width="13.28515625" bestFit="1" customWidth="1"/>
    <col min="27" max="28" width="15.85546875" customWidth="1"/>
    <col min="29" max="29" width="11.85546875" customWidth="1"/>
  </cols>
  <sheetData>
    <row r="1" spans="1:29" x14ac:dyDescent="0.25">
      <c r="A1" s="10">
        <v>2020</v>
      </c>
      <c r="B1" s="10"/>
      <c r="C1" s="52" t="s">
        <v>1</v>
      </c>
      <c r="D1" s="52"/>
      <c r="E1" s="52"/>
      <c r="F1" s="52"/>
      <c r="G1" s="52"/>
      <c r="H1" s="52"/>
      <c r="I1" s="52" t="s">
        <v>2</v>
      </c>
      <c r="J1" s="52"/>
      <c r="K1" s="4"/>
      <c r="L1" s="4"/>
      <c r="M1" s="52" t="s">
        <v>24</v>
      </c>
      <c r="N1" s="52"/>
      <c r="O1" s="52"/>
      <c r="P1" s="52"/>
      <c r="Q1" s="52"/>
      <c r="R1" s="52"/>
      <c r="S1" s="52"/>
      <c r="T1" s="52" t="s">
        <v>55</v>
      </c>
      <c r="U1" s="52"/>
      <c r="V1" s="52"/>
      <c r="W1" s="52"/>
      <c r="X1" s="52"/>
      <c r="Y1" s="52"/>
      <c r="Z1" s="52"/>
      <c r="AA1" s="52"/>
      <c r="AB1" s="52"/>
    </row>
    <row r="2" spans="1:29" x14ac:dyDescent="0.25">
      <c r="C2" s="53" t="s">
        <v>20</v>
      </c>
      <c r="D2" s="53"/>
      <c r="E2" s="53"/>
      <c r="F2" s="53"/>
      <c r="G2" s="53"/>
      <c r="H2" s="53"/>
      <c r="I2" s="53" t="s">
        <v>57</v>
      </c>
      <c r="J2" s="53"/>
      <c r="M2" s="53" t="s">
        <v>32</v>
      </c>
      <c r="N2" s="53"/>
      <c r="O2" s="53"/>
      <c r="P2" s="53"/>
      <c r="Q2" s="53"/>
      <c r="R2" s="53"/>
      <c r="S2" s="53"/>
      <c r="T2" s="53" t="s">
        <v>56</v>
      </c>
      <c r="U2" s="53"/>
      <c r="V2" s="53"/>
      <c r="W2" s="53"/>
      <c r="X2" s="53"/>
      <c r="Y2" s="53"/>
      <c r="Z2" s="53"/>
      <c r="AA2" s="53"/>
      <c r="AB2" s="53"/>
    </row>
    <row r="3" spans="1:29" s="4" customFormat="1" ht="63.75" customHeight="1" x14ac:dyDescent="0.25">
      <c r="B3" s="11" t="s">
        <v>42</v>
      </c>
      <c r="C3" s="9" t="s">
        <v>3</v>
      </c>
      <c r="D3" s="9" t="s">
        <v>4</v>
      </c>
      <c r="E3" s="9" t="s">
        <v>5</v>
      </c>
      <c r="F3" s="9" t="s">
        <v>6</v>
      </c>
      <c r="G3" s="9" t="s">
        <v>7</v>
      </c>
      <c r="H3" s="9" t="s">
        <v>43</v>
      </c>
      <c r="I3" s="9" t="s">
        <v>49</v>
      </c>
      <c r="J3" s="9" t="s">
        <v>21</v>
      </c>
      <c r="K3" s="9" t="s">
        <v>22</v>
      </c>
      <c r="L3" s="9" t="s">
        <v>50</v>
      </c>
      <c r="M3" s="16" t="s">
        <v>25</v>
      </c>
      <c r="N3" s="16" t="s">
        <v>26</v>
      </c>
      <c r="O3" s="16" t="s">
        <v>27</v>
      </c>
      <c r="P3" s="17" t="s">
        <v>28</v>
      </c>
      <c r="Q3" s="17" t="s">
        <v>29</v>
      </c>
      <c r="R3" s="17" t="s">
        <v>30</v>
      </c>
      <c r="S3" s="16" t="s">
        <v>31</v>
      </c>
      <c r="T3" s="12" t="s">
        <v>37</v>
      </c>
      <c r="U3" s="12" t="s">
        <v>38</v>
      </c>
      <c r="V3" s="13" t="s">
        <v>33</v>
      </c>
      <c r="W3" s="12" t="s">
        <v>34</v>
      </c>
      <c r="X3" s="13" t="s">
        <v>35</v>
      </c>
      <c r="Y3" s="13" t="s">
        <v>36</v>
      </c>
      <c r="Z3" s="13" t="s">
        <v>41</v>
      </c>
      <c r="AA3" s="12" t="s">
        <v>44</v>
      </c>
      <c r="AB3" s="12" t="s">
        <v>60</v>
      </c>
      <c r="AC3" s="36" t="s">
        <v>53</v>
      </c>
    </row>
    <row r="4" spans="1:29" x14ac:dyDescent="0.25">
      <c r="A4" s="2" t="s">
        <v>8</v>
      </c>
      <c r="B4" s="21">
        <v>211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22">
        <f>(G4/1000)/B4</f>
        <v>0</v>
      </c>
      <c r="I4" s="7">
        <v>2451</v>
      </c>
      <c r="J4" s="7">
        <v>0</v>
      </c>
      <c r="K4" s="20">
        <f t="shared" ref="K4:K9" si="0">(G4/1000)+I4-J4</f>
        <v>2451</v>
      </c>
      <c r="L4" s="20">
        <f>K4-I4</f>
        <v>0</v>
      </c>
      <c r="M4" s="18">
        <v>0</v>
      </c>
      <c r="N4" s="18">
        <v>383.75</v>
      </c>
      <c r="O4" s="19">
        <v>36.5</v>
      </c>
      <c r="P4" s="19">
        <v>14.4</v>
      </c>
      <c r="Q4" s="19">
        <v>44.13</v>
      </c>
      <c r="R4" s="19"/>
      <c r="S4" s="19"/>
      <c r="T4" s="14">
        <f>(K4*(O4+P4+Q4)/100)+M4+N4</f>
        <v>2712.9353000000001</v>
      </c>
      <c r="U4" s="14">
        <f t="shared" ref="U4:U8" si="1">(I4*(O4+P4+Q4)/100)+M4+N4</f>
        <v>2712.9353000000001</v>
      </c>
      <c r="V4" s="14">
        <f>J4*(R4+S4)/100</f>
        <v>0</v>
      </c>
      <c r="W4" s="14">
        <f t="shared" ref="W4:W8" si="2">T4-U4</f>
        <v>0</v>
      </c>
      <c r="X4" s="14">
        <f>V4+W4</f>
        <v>0</v>
      </c>
      <c r="Y4" s="15">
        <f>J4*0.6</f>
        <v>0</v>
      </c>
      <c r="Z4" s="14">
        <f>Y4+X4</f>
        <v>0</v>
      </c>
      <c r="AA4" s="15"/>
      <c r="AB4" s="35">
        <f>(O4+P4+Q4)/100</f>
        <v>0.95030000000000003</v>
      </c>
      <c r="AC4" s="37">
        <v>0</v>
      </c>
    </row>
    <row r="5" spans="1:29" x14ac:dyDescent="0.25">
      <c r="A5" s="2" t="s">
        <v>9</v>
      </c>
      <c r="B5" s="21">
        <v>509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22">
        <f>(G5/1000)/B5</f>
        <v>0</v>
      </c>
      <c r="I5" s="7">
        <v>2291</v>
      </c>
      <c r="J5" s="7">
        <v>0</v>
      </c>
      <c r="K5" s="20">
        <f t="shared" si="0"/>
        <v>2291</v>
      </c>
      <c r="L5" s="20">
        <f t="shared" ref="L5:L9" si="3">K5-I5</f>
        <v>0</v>
      </c>
      <c r="M5" s="18">
        <v>0</v>
      </c>
      <c r="N5" s="18">
        <v>383.75</v>
      </c>
      <c r="O5" s="19">
        <v>30.19</v>
      </c>
      <c r="P5" s="19">
        <v>14.4</v>
      </c>
      <c r="Q5" s="19">
        <v>44.13</v>
      </c>
      <c r="R5" s="19"/>
      <c r="S5" s="19"/>
      <c r="T5" s="14">
        <f t="shared" ref="T5:T9" si="4">(K5*(O5+P5+Q5)/100)+M5+N5</f>
        <v>2416.3252000000002</v>
      </c>
      <c r="U5" s="14">
        <f t="shared" si="1"/>
        <v>2416.3252000000002</v>
      </c>
      <c r="V5" s="14">
        <f t="shared" ref="V5:V9" si="5">J5*(R5+S5)/100</f>
        <v>0</v>
      </c>
      <c r="W5" s="14">
        <f t="shared" si="2"/>
        <v>0</v>
      </c>
      <c r="X5" s="14">
        <f t="shared" ref="X5:X9" si="6">V5+W5</f>
        <v>0</v>
      </c>
      <c r="Y5" s="15">
        <f t="shared" ref="Y5:Y9" si="7">J5*0.6</f>
        <v>0</v>
      </c>
      <c r="Z5" s="14">
        <f t="shared" ref="Z5:Z9" si="8">Y5+X5</f>
        <v>0</v>
      </c>
      <c r="AA5" s="15"/>
      <c r="AB5" s="35">
        <f t="shared" ref="AB5:AB9" si="9">(O5+P5+Q5)/100</f>
        <v>0.88719999999999999</v>
      </c>
      <c r="AC5" s="37">
        <v>0</v>
      </c>
    </row>
    <row r="6" spans="1:29" x14ac:dyDescent="0.25">
      <c r="A6" s="2" t="s">
        <v>10</v>
      </c>
      <c r="B6" s="21">
        <v>1223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22">
        <f>(G6/1000)/B6</f>
        <v>0</v>
      </c>
      <c r="I6" s="7">
        <v>2233</v>
      </c>
      <c r="J6" s="7">
        <v>0</v>
      </c>
      <c r="K6" s="20">
        <f t="shared" si="0"/>
        <v>2233</v>
      </c>
      <c r="L6" s="20">
        <f t="shared" si="3"/>
        <v>0</v>
      </c>
      <c r="M6" s="18">
        <v>0</v>
      </c>
      <c r="N6" s="18">
        <v>383.75</v>
      </c>
      <c r="O6" s="19">
        <v>24.06</v>
      </c>
      <c r="P6" s="19">
        <v>14.4</v>
      </c>
      <c r="Q6" s="19">
        <v>44.13</v>
      </c>
      <c r="R6" s="19"/>
      <c r="S6" s="19"/>
      <c r="T6" s="14">
        <f t="shared" si="4"/>
        <v>2227.9847</v>
      </c>
      <c r="U6" s="14">
        <f t="shared" si="1"/>
        <v>2227.9847</v>
      </c>
      <c r="V6" s="14">
        <f t="shared" si="5"/>
        <v>0</v>
      </c>
      <c r="W6" s="14">
        <f t="shared" si="2"/>
        <v>0</v>
      </c>
      <c r="X6" s="14">
        <f t="shared" si="6"/>
        <v>0</v>
      </c>
      <c r="Y6" s="15">
        <f t="shared" si="7"/>
        <v>0</v>
      </c>
      <c r="Z6" s="14">
        <f t="shared" si="8"/>
        <v>0</v>
      </c>
      <c r="AA6" s="15"/>
      <c r="AB6" s="35">
        <f t="shared" si="9"/>
        <v>0.82590000000000008</v>
      </c>
      <c r="AC6" s="37">
        <v>0</v>
      </c>
    </row>
    <row r="7" spans="1:29" x14ac:dyDescent="0.25">
      <c r="A7" s="2" t="s">
        <v>11</v>
      </c>
      <c r="B7" s="21">
        <v>1988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22">
        <f>(G7/1000)/B7</f>
        <v>0</v>
      </c>
      <c r="I7" s="7">
        <v>1664</v>
      </c>
      <c r="J7" s="7">
        <v>0</v>
      </c>
      <c r="K7" s="20">
        <f t="shared" si="0"/>
        <v>1664</v>
      </c>
      <c r="L7" s="20">
        <f t="shared" si="3"/>
        <v>0</v>
      </c>
      <c r="M7" s="18">
        <v>0</v>
      </c>
      <c r="N7" s="18">
        <v>383.75</v>
      </c>
      <c r="O7" s="19">
        <v>17.059999999999999</v>
      </c>
      <c r="P7" s="19">
        <v>14.4</v>
      </c>
      <c r="Q7" s="19">
        <v>44.13</v>
      </c>
      <c r="R7" s="19"/>
      <c r="S7" s="19"/>
      <c r="T7" s="14">
        <f t="shared" si="4"/>
        <v>1641.5676000000001</v>
      </c>
      <c r="U7" s="14">
        <f t="shared" si="1"/>
        <v>1641.5676000000001</v>
      </c>
      <c r="V7" s="14">
        <f t="shared" si="5"/>
        <v>0</v>
      </c>
      <c r="W7" s="14">
        <f t="shared" si="2"/>
        <v>0</v>
      </c>
      <c r="X7" s="14">
        <f t="shared" si="6"/>
        <v>0</v>
      </c>
      <c r="Y7" s="15">
        <f t="shared" si="7"/>
        <v>0</v>
      </c>
      <c r="Z7" s="14">
        <f t="shared" si="8"/>
        <v>0</v>
      </c>
      <c r="AA7" s="15"/>
      <c r="AB7" s="35">
        <f t="shared" si="9"/>
        <v>0.75590000000000002</v>
      </c>
      <c r="AC7" s="37">
        <v>0</v>
      </c>
    </row>
    <row r="8" spans="1:29" x14ac:dyDescent="0.25">
      <c r="A8" s="2" t="s">
        <v>12</v>
      </c>
      <c r="B8" s="21">
        <v>2769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22">
        <f>(G8/1000)/B8</f>
        <v>0</v>
      </c>
      <c r="I8" s="7">
        <v>1456</v>
      </c>
      <c r="J8" s="7">
        <v>0</v>
      </c>
      <c r="K8" s="20">
        <f t="shared" si="0"/>
        <v>1456</v>
      </c>
      <c r="L8" s="20">
        <f t="shared" si="3"/>
        <v>0</v>
      </c>
      <c r="M8" s="18">
        <v>0</v>
      </c>
      <c r="N8" s="18">
        <v>383.75</v>
      </c>
      <c r="O8" s="19">
        <v>22.54</v>
      </c>
      <c r="P8" s="19">
        <v>14.4</v>
      </c>
      <c r="Q8" s="19">
        <v>44.13</v>
      </c>
      <c r="R8" s="19"/>
      <c r="S8" s="19"/>
      <c r="T8" s="14">
        <f t="shared" si="4"/>
        <v>1564.1291999999999</v>
      </c>
      <c r="U8" s="14">
        <f t="shared" si="1"/>
        <v>1564.1291999999999</v>
      </c>
      <c r="V8" s="14">
        <f t="shared" si="5"/>
        <v>0</v>
      </c>
      <c r="W8" s="14">
        <f t="shared" si="2"/>
        <v>0</v>
      </c>
      <c r="X8" s="14">
        <f t="shared" si="6"/>
        <v>0</v>
      </c>
      <c r="Y8" s="15">
        <f t="shared" si="7"/>
        <v>0</v>
      </c>
      <c r="Z8" s="14">
        <f t="shared" si="8"/>
        <v>0</v>
      </c>
      <c r="AA8" s="15"/>
      <c r="AB8" s="35">
        <f t="shared" si="9"/>
        <v>0.81069999999999998</v>
      </c>
      <c r="AC8" s="37">
        <v>300</v>
      </c>
    </row>
    <row r="9" spans="1:29" x14ac:dyDescent="0.25">
      <c r="A9" s="2" t="s">
        <v>13</v>
      </c>
      <c r="B9" s="21">
        <v>2686</v>
      </c>
      <c r="C9" s="3">
        <v>1040437</v>
      </c>
      <c r="D9" s="3">
        <v>1949813</v>
      </c>
      <c r="E9" s="3">
        <v>502351</v>
      </c>
      <c r="F9" s="3">
        <v>538086</v>
      </c>
      <c r="G9" s="3">
        <v>2490290</v>
      </c>
      <c r="H9" s="22">
        <f>(G9/1000)/(B9*22/30)</f>
        <v>1.26427773641102</v>
      </c>
      <c r="I9" s="7">
        <v>372</v>
      </c>
      <c r="J9" s="7">
        <v>1865</v>
      </c>
      <c r="K9" s="20">
        <f t="shared" si="0"/>
        <v>997.29</v>
      </c>
      <c r="L9" s="20">
        <f t="shared" si="3"/>
        <v>625.29</v>
      </c>
      <c r="M9" s="18">
        <v>0</v>
      </c>
      <c r="N9" s="18">
        <v>383.75</v>
      </c>
      <c r="O9" s="19">
        <v>37.08</v>
      </c>
      <c r="P9" s="19">
        <v>14.4</v>
      </c>
      <c r="Q9" s="19">
        <v>44.13</v>
      </c>
      <c r="R9" s="19">
        <v>45.66</v>
      </c>
      <c r="S9" s="19">
        <v>2.92</v>
      </c>
      <c r="T9" s="14">
        <f t="shared" si="4"/>
        <v>1337.258969</v>
      </c>
      <c r="U9" s="14">
        <f>(I9*(O9+P9+Q9)/100)+M9+N9</f>
        <v>739.41920000000005</v>
      </c>
      <c r="V9" s="14">
        <f t="shared" si="5"/>
        <v>906.01699999999994</v>
      </c>
      <c r="W9" s="14">
        <f>T9-U9</f>
        <v>597.83976899999993</v>
      </c>
      <c r="X9" s="14">
        <f t="shared" si="6"/>
        <v>1503.856769</v>
      </c>
      <c r="Y9" s="15">
        <f t="shared" si="7"/>
        <v>1119</v>
      </c>
      <c r="Z9" s="14">
        <f t="shared" si="8"/>
        <v>2622.856769</v>
      </c>
      <c r="AA9" s="35">
        <f>Z9/(G9/1000)</f>
        <v>1.0532334663834333</v>
      </c>
      <c r="AB9" s="35">
        <f t="shared" si="9"/>
        <v>0.95609999999999995</v>
      </c>
      <c r="AC9" s="37">
        <v>300</v>
      </c>
    </row>
    <row r="10" spans="1:29" x14ac:dyDescent="0.25">
      <c r="A10" s="2" t="s">
        <v>14</v>
      </c>
      <c r="B10" s="21">
        <v>2604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22">
        <f t="shared" ref="H10:H15" si="10">(G10/1000)/B10</f>
        <v>0</v>
      </c>
      <c r="I10" s="7"/>
      <c r="J10" s="7"/>
      <c r="K10" s="20"/>
      <c r="L10" s="20"/>
      <c r="M10" s="18">
        <v>0</v>
      </c>
      <c r="N10" s="18">
        <v>0</v>
      </c>
      <c r="O10" s="19"/>
      <c r="P10" s="19"/>
      <c r="Q10" s="19"/>
      <c r="R10" s="19"/>
      <c r="S10" s="18"/>
      <c r="T10" s="15"/>
      <c r="U10" s="15"/>
      <c r="V10" s="15"/>
      <c r="W10" s="15"/>
      <c r="X10" s="15"/>
      <c r="Y10" s="15"/>
      <c r="Z10" s="15"/>
      <c r="AA10" s="15"/>
      <c r="AB10" s="15"/>
      <c r="AC10" s="37"/>
    </row>
    <row r="11" spans="1:29" x14ac:dyDescent="0.25">
      <c r="A11" s="2" t="s">
        <v>15</v>
      </c>
      <c r="B11" s="21">
        <v>2173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22">
        <f t="shared" si="10"/>
        <v>0</v>
      </c>
      <c r="I11" s="7"/>
      <c r="J11" s="7"/>
      <c r="K11" s="20"/>
      <c r="L11" s="20"/>
      <c r="M11" s="18">
        <v>0</v>
      </c>
      <c r="N11" s="18">
        <v>0</v>
      </c>
      <c r="O11" s="19"/>
      <c r="P11" s="19"/>
      <c r="Q11" s="19"/>
      <c r="R11" s="19"/>
      <c r="S11" s="18"/>
      <c r="T11" s="15"/>
      <c r="U11" s="15"/>
      <c r="V11" s="15"/>
      <c r="W11" s="15"/>
      <c r="X11" s="15"/>
      <c r="Y11" s="15"/>
      <c r="Z11" s="15"/>
      <c r="AA11" s="15"/>
      <c r="AB11" s="15"/>
      <c r="AC11" s="37"/>
    </row>
    <row r="12" spans="1:29" x14ac:dyDescent="0.25">
      <c r="A12" s="2" t="s">
        <v>16</v>
      </c>
      <c r="B12" s="21">
        <v>1454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22">
        <f t="shared" si="10"/>
        <v>0</v>
      </c>
      <c r="I12" s="7"/>
      <c r="J12" s="7"/>
      <c r="K12" s="20"/>
      <c r="L12" s="20"/>
      <c r="M12" s="18">
        <v>0</v>
      </c>
      <c r="N12" s="18">
        <v>0</v>
      </c>
      <c r="O12" s="19"/>
      <c r="P12" s="19"/>
      <c r="Q12" s="19"/>
      <c r="R12" s="19"/>
      <c r="S12" s="18"/>
      <c r="T12" s="15"/>
      <c r="U12" s="15"/>
      <c r="V12" s="15"/>
      <c r="W12" s="15"/>
      <c r="X12" s="15"/>
      <c r="Y12" s="15"/>
      <c r="Z12" s="15"/>
      <c r="AA12" s="15"/>
      <c r="AB12" s="15"/>
      <c r="AC12" s="37"/>
    </row>
    <row r="13" spans="1:29" x14ac:dyDescent="0.25">
      <c r="A13" s="2" t="s">
        <v>17</v>
      </c>
      <c r="B13" s="21">
        <v>696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22">
        <f t="shared" si="10"/>
        <v>0</v>
      </c>
      <c r="I13" s="7"/>
      <c r="J13" s="7"/>
      <c r="K13" s="20"/>
      <c r="L13" s="20"/>
      <c r="M13" s="18">
        <v>0</v>
      </c>
      <c r="N13" s="18">
        <v>0</v>
      </c>
      <c r="O13" s="19"/>
      <c r="P13" s="19"/>
      <c r="Q13" s="19"/>
      <c r="R13" s="19"/>
      <c r="S13" s="18"/>
      <c r="T13" s="15"/>
      <c r="U13" s="15"/>
      <c r="V13" s="15"/>
      <c r="W13" s="15"/>
      <c r="X13" s="15"/>
      <c r="Y13" s="15"/>
      <c r="Z13" s="15"/>
      <c r="AA13" s="15"/>
      <c r="AB13" s="15"/>
      <c r="AC13" s="37"/>
    </row>
    <row r="14" spans="1:29" x14ac:dyDescent="0.25">
      <c r="A14" s="2" t="s">
        <v>18</v>
      </c>
      <c r="B14" s="21">
        <v>227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22">
        <f t="shared" si="10"/>
        <v>0</v>
      </c>
      <c r="I14" s="7"/>
      <c r="J14" s="7"/>
      <c r="K14" s="20"/>
      <c r="L14" s="20"/>
      <c r="M14" s="18">
        <v>0</v>
      </c>
      <c r="N14" s="18">
        <v>0</v>
      </c>
      <c r="O14" s="19"/>
      <c r="P14" s="19"/>
      <c r="Q14" s="19"/>
      <c r="R14" s="19"/>
      <c r="S14" s="18"/>
      <c r="T14" s="15"/>
      <c r="U14" s="15"/>
      <c r="V14" s="15"/>
      <c r="W14" s="15"/>
      <c r="X14" s="15"/>
      <c r="Y14" s="15"/>
      <c r="Z14" s="15"/>
      <c r="AA14" s="15"/>
      <c r="AB14" s="15"/>
      <c r="AC14" s="37"/>
    </row>
    <row r="15" spans="1:29" x14ac:dyDescent="0.25">
      <c r="A15" s="2" t="s">
        <v>19</v>
      </c>
      <c r="B15" s="21">
        <v>117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22">
        <f t="shared" si="10"/>
        <v>0</v>
      </c>
      <c r="I15" s="7"/>
      <c r="J15" s="7"/>
      <c r="K15" s="20"/>
      <c r="L15" s="20"/>
      <c r="M15" s="18">
        <v>0</v>
      </c>
      <c r="N15" s="18">
        <v>0</v>
      </c>
      <c r="O15" s="19"/>
      <c r="P15" s="19"/>
      <c r="Q15" s="19"/>
      <c r="R15" s="19"/>
      <c r="S15" s="18"/>
      <c r="T15" s="15"/>
      <c r="U15" s="15"/>
      <c r="V15" s="15"/>
      <c r="W15" s="15"/>
      <c r="X15" s="15"/>
      <c r="Y15" s="15"/>
      <c r="Z15" s="15"/>
      <c r="AA15" s="15"/>
      <c r="AB15" s="15"/>
      <c r="AC15" s="37"/>
    </row>
    <row r="16" spans="1:29" x14ac:dyDescent="0.25">
      <c r="A16" s="2"/>
      <c r="B16" s="21"/>
      <c r="C16" s="3"/>
      <c r="D16" s="3"/>
      <c r="E16" s="3"/>
      <c r="F16" s="3"/>
      <c r="G16" s="3"/>
      <c r="H16" s="3"/>
      <c r="I16" s="7"/>
      <c r="J16" s="7"/>
      <c r="K16" s="20"/>
      <c r="L16" s="20"/>
      <c r="M16" s="18"/>
      <c r="N16" s="18"/>
      <c r="O16" s="19"/>
      <c r="P16" s="19"/>
      <c r="Q16" s="19"/>
      <c r="R16" s="19"/>
      <c r="S16" s="18"/>
      <c r="T16" s="15"/>
      <c r="U16" s="15"/>
      <c r="V16" s="15"/>
      <c r="W16" s="15"/>
      <c r="X16" s="15"/>
      <c r="Y16" s="15"/>
      <c r="Z16" s="15"/>
      <c r="AA16" s="15"/>
      <c r="AB16" s="15"/>
      <c r="AC16" s="37"/>
    </row>
    <row r="17" spans="1:29" x14ac:dyDescent="0.25">
      <c r="B17" s="38" t="s">
        <v>0</v>
      </c>
      <c r="C17" s="38" t="s">
        <v>0</v>
      </c>
      <c r="D17" s="38" t="s">
        <v>0</v>
      </c>
      <c r="E17" s="38" t="s">
        <v>0</v>
      </c>
      <c r="F17" s="38" t="s">
        <v>0</v>
      </c>
      <c r="G17" s="38" t="s">
        <v>0</v>
      </c>
      <c r="H17" s="38"/>
      <c r="I17" s="38" t="s">
        <v>0</v>
      </c>
      <c r="J17" s="38" t="s">
        <v>0</v>
      </c>
      <c r="K17" s="38" t="s">
        <v>0</v>
      </c>
      <c r="L17" s="38" t="s">
        <v>0</v>
      </c>
      <c r="M17" s="39" t="s">
        <v>39</v>
      </c>
      <c r="N17" s="39" t="s">
        <v>39</v>
      </c>
      <c r="O17" s="39" t="s">
        <v>40</v>
      </c>
      <c r="P17" s="39" t="s">
        <v>40</v>
      </c>
      <c r="Q17" s="39" t="s">
        <v>40</v>
      </c>
      <c r="R17" s="39" t="s">
        <v>40</v>
      </c>
      <c r="S17" s="39" t="s">
        <v>40</v>
      </c>
      <c r="T17" s="39" t="s">
        <v>39</v>
      </c>
      <c r="U17" s="39" t="s">
        <v>39</v>
      </c>
      <c r="V17" s="39" t="s">
        <v>39</v>
      </c>
      <c r="W17" s="39" t="s">
        <v>39</v>
      </c>
      <c r="X17" s="39" t="s">
        <v>39</v>
      </c>
      <c r="Y17" s="39" t="s">
        <v>39</v>
      </c>
      <c r="Z17" s="39" t="s">
        <v>39</v>
      </c>
      <c r="AA17" s="39" t="s">
        <v>39</v>
      </c>
      <c r="AB17" s="39" t="s">
        <v>39</v>
      </c>
      <c r="AC17" s="39" t="s">
        <v>39</v>
      </c>
    </row>
    <row r="18" spans="1:29" ht="15.75" x14ac:dyDescent="0.25">
      <c r="A18" s="40" t="s">
        <v>23</v>
      </c>
      <c r="B18" s="41">
        <f>SUM(B4:B17)</f>
        <v>16657</v>
      </c>
      <c r="C18" s="42">
        <f>SUM(C4:C17)/1000</f>
        <v>1040.4369999999999</v>
      </c>
      <c r="D18" s="42">
        <f>SUM(D4:D17)/1000</f>
        <v>1949.8130000000001</v>
      </c>
      <c r="E18" s="42">
        <f>SUM(E4:E17)/1000</f>
        <v>502.351</v>
      </c>
      <c r="F18" s="42">
        <f>SUM(F4:F17)/1000</f>
        <v>538.08600000000001</v>
      </c>
      <c r="G18" s="42">
        <f>SUM(G4:G17)/1000</f>
        <v>2490.29</v>
      </c>
      <c r="H18" s="42"/>
      <c r="I18" s="43">
        <f t="shared" ref="I18:N18" si="11">SUM(I4:I15)</f>
        <v>10467</v>
      </c>
      <c r="J18" s="43">
        <f t="shared" si="11"/>
        <v>1865</v>
      </c>
      <c r="K18" s="43">
        <f t="shared" si="11"/>
        <v>11092.29</v>
      </c>
      <c r="L18" s="43">
        <f t="shared" si="11"/>
        <v>625.29</v>
      </c>
      <c r="M18" s="43">
        <f t="shared" si="11"/>
        <v>0</v>
      </c>
      <c r="N18" s="44">
        <f t="shared" si="11"/>
        <v>2302.5</v>
      </c>
      <c r="O18" s="44">
        <f>AVERAGE(O4:O15)</f>
        <v>27.905000000000001</v>
      </c>
      <c r="P18" s="44">
        <f>AVERAGE(P4:P15)</f>
        <v>14.4</v>
      </c>
      <c r="Q18" s="44">
        <f>AVERAGE(Q4:Q15)</f>
        <v>44.13</v>
      </c>
      <c r="R18" s="44">
        <f>AVERAGE(R4:R15)</f>
        <v>45.66</v>
      </c>
      <c r="S18" s="44">
        <f>AVERAGE(S4:S15)</f>
        <v>2.92</v>
      </c>
      <c r="T18" s="44">
        <f t="shared" ref="T18:Z18" si="12">SUM(T4:T15)</f>
        <v>11900.200969</v>
      </c>
      <c r="U18" s="44">
        <f t="shared" si="12"/>
        <v>11302.361199999999</v>
      </c>
      <c r="V18" s="44">
        <f t="shared" si="12"/>
        <v>906.01699999999994</v>
      </c>
      <c r="W18" s="44">
        <f t="shared" si="12"/>
        <v>597.83976899999993</v>
      </c>
      <c r="X18" s="44">
        <f t="shared" si="12"/>
        <v>1503.856769</v>
      </c>
      <c r="Y18" s="44">
        <f t="shared" si="12"/>
        <v>1119</v>
      </c>
      <c r="Z18" s="44">
        <f t="shared" si="12"/>
        <v>2622.856769</v>
      </c>
      <c r="AA18" s="45">
        <f>AVERAGE(AA4:AA15)</f>
        <v>1.0532334663834333</v>
      </c>
      <c r="AB18" s="45">
        <f>AVERAGE(AB4:AB15)</f>
        <v>0.86435000000000006</v>
      </c>
      <c r="AC18" s="44">
        <f>SUM(AC4:AC15)</f>
        <v>600</v>
      </c>
    </row>
    <row r="19" spans="1:29" x14ac:dyDescent="0.25"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</row>
    <row r="20" spans="1:29" ht="15.75" thickBot="1" x14ac:dyDescent="0.3"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</row>
    <row r="21" spans="1:29" ht="36.75" customHeight="1" thickBot="1" x14ac:dyDescent="0.35">
      <c r="C21" s="46" t="s">
        <v>45</v>
      </c>
      <c r="D21" s="46" t="s">
        <v>46</v>
      </c>
      <c r="E21" s="46" t="s">
        <v>47</v>
      </c>
      <c r="F21" s="46" t="s">
        <v>48</v>
      </c>
      <c r="G21" s="46" t="s">
        <v>51</v>
      </c>
      <c r="I21" s="6"/>
      <c r="J21" s="6"/>
      <c r="K21" s="8" t="s">
        <v>58</v>
      </c>
      <c r="L21" s="6"/>
      <c r="M21" s="6"/>
      <c r="N21" s="50" t="s">
        <v>61</v>
      </c>
      <c r="O21" s="50"/>
      <c r="P21" s="6"/>
      <c r="Q21" s="6"/>
      <c r="R21" s="6"/>
      <c r="S21" s="6"/>
      <c r="T21" s="6"/>
    </row>
    <row r="22" spans="1:29" ht="17.25" thickTop="1" thickBot="1" x14ac:dyDescent="0.3">
      <c r="C22" s="47">
        <f>G18</f>
        <v>2490.29</v>
      </c>
      <c r="D22" s="47">
        <f>J18</f>
        <v>1865</v>
      </c>
      <c r="E22" s="47">
        <f>I18</f>
        <v>10467</v>
      </c>
      <c r="F22" s="47">
        <f>K18</f>
        <v>11092.29</v>
      </c>
      <c r="G22" s="47">
        <f>L18</f>
        <v>625.29</v>
      </c>
      <c r="H22" t="s">
        <v>0</v>
      </c>
      <c r="I22" s="6"/>
      <c r="J22" s="6"/>
      <c r="K22" s="34">
        <v>0</v>
      </c>
      <c r="L22" s="6"/>
      <c r="M22" s="6"/>
      <c r="N22" s="51">
        <f>G24/(G9/1000)</f>
        <v>1.0532334663834333</v>
      </c>
      <c r="O22" s="51"/>
      <c r="P22" s="6"/>
      <c r="Q22" s="6"/>
      <c r="R22" s="6"/>
      <c r="S22" s="6"/>
      <c r="T22" s="6"/>
    </row>
    <row r="23" spans="1:29" x14ac:dyDescent="0.25">
      <c r="C23" s="23"/>
      <c r="D23" s="24"/>
      <c r="E23" s="24"/>
      <c r="F23" s="24"/>
      <c r="G23" s="25"/>
      <c r="K23" s="33" t="s">
        <v>59</v>
      </c>
      <c r="N23" s="5" t="s">
        <v>62</v>
      </c>
    </row>
    <row r="24" spans="1:29" ht="21" x14ac:dyDescent="0.35">
      <c r="C24" s="26" t="s">
        <v>52</v>
      </c>
      <c r="D24" s="27"/>
      <c r="E24" s="27"/>
      <c r="F24" s="27"/>
      <c r="G24" s="49">
        <f>Z18+K22</f>
        <v>2622.856769</v>
      </c>
    </row>
    <row r="25" spans="1:29" ht="15.75" thickBot="1" x14ac:dyDescent="0.3">
      <c r="C25" s="28"/>
      <c r="D25" s="29"/>
      <c r="E25" s="30"/>
      <c r="F25" s="30"/>
      <c r="G25" s="31"/>
    </row>
    <row r="26" spans="1:29" x14ac:dyDescent="0.25">
      <c r="C26" s="23"/>
      <c r="D26" s="24"/>
      <c r="E26" s="24"/>
      <c r="F26" s="24"/>
      <c r="G26" s="25"/>
    </row>
    <row r="27" spans="1:29" ht="21" x14ac:dyDescent="0.35">
      <c r="C27" s="32" t="s">
        <v>54</v>
      </c>
      <c r="D27" s="1"/>
      <c r="E27" s="1"/>
      <c r="F27" s="1"/>
      <c r="G27" s="48">
        <f>G24-AC18</f>
        <v>2022.856769</v>
      </c>
    </row>
    <row r="28" spans="1:29" ht="15.75" thickBot="1" x14ac:dyDescent="0.3">
      <c r="C28" s="28"/>
      <c r="D28" s="29"/>
      <c r="E28" s="29"/>
      <c r="F28" s="29"/>
      <c r="G28" s="31"/>
    </row>
  </sheetData>
  <mergeCells count="10">
    <mergeCell ref="C1:H1"/>
    <mergeCell ref="C2:H2"/>
    <mergeCell ref="I1:J1"/>
    <mergeCell ref="M1:S1"/>
    <mergeCell ref="M2:S2"/>
    <mergeCell ref="N21:O21"/>
    <mergeCell ref="N22:O22"/>
    <mergeCell ref="T1:AB1"/>
    <mergeCell ref="T2:AB2"/>
    <mergeCell ref="I2:J2"/>
  </mergeCells>
  <phoneticPr fontId="3" type="noConversion"/>
  <pageMargins left="0.7" right="0.7" top="0.75" bottom="0.75" header="0.3" footer="0.3"/>
  <pageSetup paperSize="9" orientation="portrait" r:id="rId1"/>
  <headerFooter>
    <oddFooter>&amp;L&amp;1#&amp;"Calibri"&amp;8&amp;K000000Sensitivity: Internal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Electricity 2020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Magnus Pernemark</dc:creator>
  <cp:lastModifiedBy>Magnus Pernemark</cp:lastModifiedBy>
  <dcterms:created xsi:type="dcterms:W3CDTF">2020-07-05T20:11:56Z</dcterms:created>
  <dcterms:modified xsi:type="dcterms:W3CDTF">2020-07-06T23:16:29Z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fef85ea-3e38-424b-a536-85f7ca35fb6d_Enabled">
    <vt:lpwstr>True</vt:lpwstr>
  </property>
  <property fmtid="{D5CDD505-2E9C-101B-9397-08002B2CF9AE}" pid="3" name="MSIP_Label_2fef85ea-3e38-424b-a536-85f7ca35fb6d_SiteId">
    <vt:lpwstr>40cc2915-e283-4a27-9471-6bdd7ca4c6e1</vt:lpwstr>
  </property>
  <property fmtid="{D5CDD505-2E9C-101B-9397-08002B2CF9AE}" pid="4" name="MSIP_Label_2fef85ea-3e38-424b-a536-85f7ca35fb6d_Owner">
    <vt:lpwstr>magnus.pernemark@evry.com</vt:lpwstr>
  </property>
  <property fmtid="{D5CDD505-2E9C-101B-9397-08002B2CF9AE}" pid="5" name="MSIP_Label_2fef85ea-3e38-424b-a536-85f7ca35fb6d_SetDate">
    <vt:lpwstr>2020-07-05T22:31:51.0838287Z</vt:lpwstr>
  </property>
  <property fmtid="{D5CDD505-2E9C-101B-9397-08002B2CF9AE}" pid="6" name="MSIP_Label_2fef85ea-3e38-424b-a536-85f7ca35fb6d_Name">
    <vt:lpwstr>Internal</vt:lpwstr>
  </property>
  <property fmtid="{D5CDD505-2E9C-101B-9397-08002B2CF9AE}" pid="7" name="MSIP_Label_2fef85ea-3e38-424b-a536-85f7ca35fb6d_Application">
    <vt:lpwstr>Microsoft Azure Information Protection</vt:lpwstr>
  </property>
  <property fmtid="{D5CDD505-2E9C-101B-9397-08002B2CF9AE}" pid="8" name="MSIP_Label_2fef85ea-3e38-424b-a536-85f7ca35fb6d_ActionId">
    <vt:lpwstr>466c5535-62eb-4dbb-a276-dd3c23d94055</vt:lpwstr>
  </property>
  <property fmtid="{D5CDD505-2E9C-101B-9397-08002B2CF9AE}" pid="9" name="MSIP_Label_2fef85ea-3e38-424b-a536-85f7ca35fb6d_Extended_MSFT_Method">
    <vt:lpwstr>Automatic</vt:lpwstr>
  </property>
  <property fmtid="{D5CDD505-2E9C-101B-9397-08002B2CF9AE}" pid="10" name="Sensitivity">
    <vt:lpwstr>Internal</vt:lpwstr>
  </property>
</Properties>
</file>