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a\Desktop\NACOINFO\OOSC FIELD DOCS\"/>
    </mc:Choice>
  </mc:AlternateContent>
  <xr:revisionPtr revIDLastSave="0" documentId="13_ncr:1_{27C2F1BE-CA80-4D34-9ABA-8379306ACB73}" xr6:coauthVersionLast="47" xr6:coauthVersionMax="47" xr10:uidLastSave="{00000000-0000-0000-0000-000000000000}"/>
  <bookViews>
    <workbookView xWindow="-110" yWindow="-110" windowWidth="19420" windowHeight="10420" xr2:uid="{0E9720A8-6BF2-4F73-B78A-FC14E0E6BBB6}"/>
  </bookViews>
  <sheets>
    <sheet name="Summary1" sheetId="1" r:id="rId1"/>
    <sheet name="Summary2" sheetId="3" r:id="rId2"/>
    <sheet name="Summary3" sheetId="4" r:id="rId3"/>
    <sheet name="Summary4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3" i="1" l="1"/>
  <c r="S103" i="1"/>
  <c r="T103" i="1"/>
  <c r="Q102" i="1"/>
  <c r="S102" i="1"/>
  <c r="Q94" i="1"/>
  <c r="S94" i="1"/>
  <c r="Q93" i="1"/>
  <c r="S93" i="1"/>
  <c r="Q92" i="1"/>
  <c r="S92" i="1"/>
  <c r="T92" i="1"/>
  <c r="R92" i="1"/>
  <c r="P92" i="1"/>
  <c r="Q91" i="1"/>
  <c r="S91" i="1"/>
  <c r="Q83" i="1"/>
  <c r="S83" i="1"/>
  <c r="T83" i="1"/>
  <c r="R83" i="1"/>
  <c r="P83" i="1"/>
  <c r="Q82" i="1"/>
  <c r="S82" i="1"/>
  <c r="Q81" i="1"/>
  <c r="S81" i="1"/>
  <c r="Q73" i="1"/>
  <c r="S73" i="1"/>
  <c r="Q72" i="1"/>
  <c r="S72" i="1"/>
  <c r="T72" i="1"/>
  <c r="R72" i="1"/>
  <c r="P72" i="1"/>
  <c r="Q71" i="1"/>
  <c r="S71" i="1"/>
  <c r="Q63" i="1"/>
  <c r="S63" i="1"/>
  <c r="Q62" i="1"/>
  <c r="S62" i="1"/>
  <c r="S52" i="1"/>
  <c r="T52" i="1"/>
  <c r="Q51" i="1"/>
  <c r="S51" i="1"/>
  <c r="Q42" i="1"/>
  <c r="S42" i="1"/>
  <c r="Q34" i="1"/>
  <c r="S34" i="1"/>
  <c r="Q26" i="1"/>
  <c r="S26" i="1"/>
  <c r="T26" i="1"/>
  <c r="Q24" i="1"/>
  <c r="S24" i="1"/>
  <c r="Q18" i="1"/>
  <c r="S18" i="1"/>
  <c r="Q17" i="1"/>
  <c r="S17" i="1"/>
  <c r="T17" i="1"/>
  <c r="S16" i="1"/>
  <c r="Q16" i="1"/>
  <c r="Q8" i="1"/>
  <c r="S8" i="1"/>
  <c r="S6" i="1"/>
  <c r="E103" i="1"/>
  <c r="G103" i="1"/>
  <c r="H103" i="1"/>
  <c r="F103" i="1"/>
  <c r="D103" i="1"/>
  <c r="E102" i="1"/>
  <c r="G102" i="1"/>
  <c r="H102" i="1"/>
  <c r="F102" i="1"/>
  <c r="D102" i="1"/>
  <c r="E94" i="1"/>
  <c r="G94" i="1"/>
  <c r="H94" i="1"/>
  <c r="E93" i="1"/>
  <c r="G93" i="1"/>
  <c r="H93" i="1"/>
  <c r="F93" i="1"/>
  <c r="D93" i="1"/>
  <c r="E92" i="1"/>
  <c r="G92" i="1"/>
  <c r="H92" i="1"/>
  <c r="F92" i="1"/>
  <c r="D92" i="1"/>
  <c r="G91" i="1"/>
  <c r="E91" i="1"/>
  <c r="H91" i="1"/>
  <c r="F91" i="1"/>
  <c r="D91" i="1"/>
  <c r="E83" i="1"/>
  <c r="G83" i="1"/>
  <c r="H83" i="1"/>
  <c r="F83" i="1"/>
  <c r="D83" i="1"/>
  <c r="E82" i="1"/>
  <c r="G82" i="1"/>
  <c r="E81" i="1"/>
  <c r="G81" i="1"/>
  <c r="F81" i="1"/>
  <c r="D81" i="1"/>
  <c r="E73" i="1"/>
  <c r="G73" i="1"/>
  <c r="H73" i="1"/>
  <c r="F73" i="1"/>
  <c r="D73" i="1"/>
  <c r="E72" i="1"/>
  <c r="G72" i="1"/>
  <c r="H72" i="1"/>
  <c r="F72" i="1"/>
  <c r="D72" i="1"/>
  <c r="E71" i="1"/>
  <c r="G71" i="1"/>
  <c r="H71" i="1"/>
  <c r="F71" i="1"/>
  <c r="D71" i="1"/>
  <c r="E64" i="1"/>
  <c r="G64" i="1"/>
  <c r="H64" i="1"/>
  <c r="E63" i="1"/>
  <c r="G63" i="1"/>
  <c r="H63" i="1"/>
  <c r="F63" i="1"/>
  <c r="D63" i="1"/>
  <c r="E62" i="1"/>
  <c r="G62" i="1"/>
  <c r="H62" i="1"/>
  <c r="F62" i="1"/>
  <c r="D62" i="1"/>
  <c r="G61" i="1"/>
  <c r="H61" i="1"/>
  <c r="E61" i="1"/>
  <c r="F61" i="1"/>
  <c r="D61" i="1"/>
  <c r="E52" i="1"/>
  <c r="H52" i="1"/>
  <c r="G52" i="1"/>
  <c r="F52" i="1"/>
  <c r="D52" i="1"/>
  <c r="E51" i="1"/>
  <c r="H51" i="1"/>
  <c r="G51" i="1"/>
  <c r="F51" i="1"/>
  <c r="D51" i="1"/>
  <c r="E43" i="1"/>
  <c r="H43" i="1"/>
  <c r="G43" i="1"/>
  <c r="F43" i="1"/>
  <c r="D43" i="1"/>
  <c r="E42" i="1"/>
  <c r="H42" i="1"/>
  <c r="G42" i="1"/>
  <c r="E35" i="1"/>
  <c r="H35" i="1"/>
  <c r="G35" i="1"/>
  <c r="F35" i="1"/>
  <c r="D35" i="1"/>
  <c r="E34" i="1"/>
  <c r="H34" i="1"/>
  <c r="G34" i="1"/>
  <c r="F34" i="1"/>
  <c r="D34" i="1"/>
  <c r="I33" i="1"/>
  <c r="H33" i="1"/>
  <c r="G33" i="1"/>
  <c r="E33" i="1"/>
  <c r="F33" i="1"/>
  <c r="D33" i="1"/>
  <c r="H27" i="1"/>
  <c r="G27" i="1"/>
  <c r="E27" i="1"/>
  <c r="F27" i="1"/>
  <c r="D27" i="1"/>
  <c r="H26" i="1"/>
  <c r="G26" i="1"/>
  <c r="E26" i="1"/>
  <c r="F26" i="1"/>
  <c r="D26" i="1"/>
  <c r="H25" i="1"/>
  <c r="G25" i="1"/>
  <c r="E25" i="1"/>
  <c r="D25" i="1"/>
  <c r="H24" i="1"/>
  <c r="G24" i="1"/>
  <c r="E24" i="1"/>
  <c r="F24" i="1"/>
  <c r="D24" i="1"/>
  <c r="H18" i="1"/>
  <c r="G18" i="1"/>
  <c r="E18" i="1"/>
  <c r="F18" i="1"/>
  <c r="D18" i="1"/>
  <c r="H17" i="1"/>
  <c r="G17" i="1"/>
  <c r="E17" i="1"/>
  <c r="F17" i="1"/>
  <c r="D17" i="1"/>
  <c r="G16" i="1"/>
  <c r="E16" i="1"/>
  <c r="F16" i="1"/>
  <c r="D16" i="1"/>
  <c r="H15" i="1"/>
  <c r="G15" i="1"/>
  <c r="E15" i="1"/>
  <c r="F15" i="1"/>
  <c r="D15" i="1"/>
  <c r="G8" i="1"/>
  <c r="E8" i="1"/>
  <c r="I7" i="1"/>
  <c r="H7" i="1"/>
  <c r="G7" i="1"/>
  <c r="E7" i="1"/>
  <c r="E6" i="1"/>
  <c r="F7" i="1"/>
  <c r="D7" i="1"/>
  <c r="G6" i="1"/>
  <c r="F6" i="1"/>
  <c r="D6" i="1"/>
  <c r="K8" i="3" l="1"/>
  <c r="L8" i="3" s="1"/>
  <c r="K10" i="3"/>
  <c r="L10" i="3" s="1"/>
  <c r="K12" i="3"/>
  <c r="K13" i="3"/>
  <c r="K14" i="3"/>
  <c r="K20" i="3"/>
  <c r="L20" i="3" s="1"/>
  <c r="K22" i="3"/>
  <c r="K27" i="3"/>
  <c r="K31" i="3"/>
  <c r="K32" i="3"/>
  <c r="L32" i="3" s="1"/>
  <c r="K37" i="3"/>
  <c r="K38" i="3"/>
  <c r="L38" i="3" s="1"/>
  <c r="J39" i="3"/>
  <c r="I39" i="3"/>
  <c r="K39" i="3" s="1"/>
  <c r="J38" i="3"/>
  <c r="J36" i="3"/>
  <c r="I36" i="3"/>
  <c r="H36" i="3"/>
  <c r="K36" i="3" s="1"/>
  <c r="L36" i="3" s="1"/>
  <c r="J35" i="3"/>
  <c r="I35" i="3"/>
  <c r="H35" i="3"/>
  <c r="K35" i="3" s="1"/>
  <c r="J34" i="3"/>
  <c r="I34" i="3"/>
  <c r="H34" i="3"/>
  <c r="K34" i="3" s="1"/>
  <c r="L34" i="3" s="1"/>
  <c r="J33" i="3"/>
  <c r="I33" i="3"/>
  <c r="H33" i="3"/>
  <c r="K33" i="3" s="1"/>
  <c r="I30" i="3"/>
  <c r="K30" i="3" s="1"/>
  <c r="L30" i="3" s="1"/>
  <c r="H30" i="3"/>
  <c r="J29" i="3"/>
  <c r="I29" i="3"/>
  <c r="H29" i="3"/>
  <c r="K29" i="3" s="1"/>
  <c r="L29" i="3" s="1"/>
  <c r="J28" i="3"/>
  <c r="I28" i="3"/>
  <c r="H28" i="3"/>
  <c r="K28" i="3" s="1"/>
  <c r="L28" i="3" s="1"/>
  <c r="J26" i="3"/>
  <c r="K26" i="3" s="1"/>
  <c r="L26" i="3" s="1"/>
  <c r="I26" i="3"/>
  <c r="H26" i="3"/>
  <c r="J25" i="3"/>
  <c r="I25" i="3"/>
  <c r="H25" i="3"/>
  <c r="K25" i="3" s="1"/>
  <c r="J24" i="3"/>
  <c r="I24" i="3"/>
  <c r="H24" i="3"/>
  <c r="K24" i="3" s="1"/>
  <c r="L24" i="3" s="1"/>
  <c r="J23" i="3"/>
  <c r="K23" i="3" s="1"/>
  <c r="J21" i="3"/>
  <c r="I21" i="3"/>
  <c r="K21" i="3" s="1"/>
  <c r="J19" i="3"/>
  <c r="J40" i="3" s="1"/>
  <c r="I19" i="3"/>
  <c r="H19" i="3"/>
  <c r="K19" i="3" s="1"/>
  <c r="L19" i="3" s="1"/>
  <c r="J18" i="3"/>
  <c r="I18" i="3"/>
  <c r="K18" i="3" s="1"/>
  <c r="J17" i="3"/>
  <c r="I17" i="3"/>
  <c r="K17" i="3" s="1"/>
  <c r="J16" i="3"/>
  <c r="I16" i="3"/>
  <c r="K16" i="3" s="1"/>
  <c r="L16" i="3" s="1"/>
  <c r="J15" i="3"/>
  <c r="K15" i="3" s="1"/>
  <c r="J14" i="3"/>
  <c r="J11" i="3"/>
  <c r="I11" i="3"/>
  <c r="K11" i="3" s="1"/>
  <c r="L11" i="3" s="1"/>
  <c r="J9" i="3"/>
  <c r="I9" i="3"/>
  <c r="K9" i="3" s="1"/>
  <c r="J7" i="3"/>
  <c r="I7" i="3"/>
  <c r="H7" i="3"/>
  <c r="K7" i="3" s="1"/>
  <c r="J6" i="3"/>
  <c r="I6" i="3"/>
  <c r="I40" i="3" s="1"/>
  <c r="H6" i="3"/>
  <c r="H40" i="3" s="1"/>
  <c r="G8" i="3"/>
  <c r="G10" i="3"/>
  <c r="G19" i="3"/>
  <c r="G20" i="3"/>
  <c r="G28" i="3"/>
  <c r="G32" i="3"/>
  <c r="G36" i="3"/>
  <c r="F39" i="3"/>
  <c r="F38" i="3"/>
  <c r="F37" i="3"/>
  <c r="G37" i="3" s="1"/>
  <c r="F36" i="3"/>
  <c r="F35" i="3"/>
  <c r="F34" i="3"/>
  <c r="F33" i="3"/>
  <c r="F32" i="3"/>
  <c r="F31" i="3"/>
  <c r="F30" i="3"/>
  <c r="G30" i="3" s="1"/>
  <c r="F29" i="3"/>
  <c r="F28" i="3"/>
  <c r="F27" i="3"/>
  <c r="G27" i="3" s="1"/>
  <c r="L27" i="3" s="1"/>
  <c r="F26" i="3"/>
  <c r="F25" i="3"/>
  <c r="F24" i="3"/>
  <c r="F23" i="3"/>
  <c r="F22" i="3"/>
  <c r="F21" i="3"/>
  <c r="F18" i="3"/>
  <c r="F17" i="3"/>
  <c r="F16" i="3"/>
  <c r="G16" i="3" s="1"/>
  <c r="F15" i="3"/>
  <c r="G15" i="3" s="1"/>
  <c r="F14" i="3"/>
  <c r="F13" i="3"/>
  <c r="G13" i="3" s="1"/>
  <c r="F12" i="3"/>
  <c r="F11" i="3"/>
  <c r="F9" i="3"/>
  <c r="E39" i="3"/>
  <c r="G39" i="3" s="1"/>
  <c r="E38" i="3"/>
  <c r="G38" i="3" s="1"/>
  <c r="E36" i="3"/>
  <c r="D36" i="3"/>
  <c r="E35" i="3"/>
  <c r="D35" i="3"/>
  <c r="G35" i="3" s="1"/>
  <c r="E34" i="3"/>
  <c r="D34" i="3"/>
  <c r="G34" i="3" s="1"/>
  <c r="E33" i="3"/>
  <c r="D33" i="3"/>
  <c r="G33" i="3" s="1"/>
  <c r="E31" i="3"/>
  <c r="D31" i="3"/>
  <c r="G31" i="3" s="1"/>
  <c r="L31" i="3" s="1"/>
  <c r="E29" i="3"/>
  <c r="D29" i="3"/>
  <c r="G29" i="3" s="1"/>
  <c r="E28" i="3"/>
  <c r="D28" i="3"/>
  <c r="E26" i="3"/>
  <c r="D26" i="3"/>
  <c r="G26" i="3" s="1"/>
  <c r="E25" i="3"/>
  <c r="D25" i="3"/>
  <c r="G25" i="3" s="1"/>
  <c r="E24" i="3"/>
  <c r="D24" i="3"/>
  <c r="G24" i="3" s="1"/>
  <c r="E23" i="3"/>
  <c r="D23" i="3"/>
  <c r="G23" i="3" s="1"/>
  <c r="E22" i="3"/>
  <c r="D22" i="3"/>
  <c r="G22" i="3" s="1"/>
  <c r="E21" i="3"/>
  <c r="D21" i="3"/>
  <c r="G21" i="3" s="1"/>
  <c r="E18" i="3"/>
  <c r="G18" i="3" s="1"/>
  <c r="E17" i="3"/>
  <c r="D17" i="3"/>
  <c r="G17" i="3" s="1"/>
  <c r="E16" i="3"/>
  <c r="E14" i="3"/>
  <c r="G14" i="3" s="1"/>
  <c r="E12" i="3"/>
  <c r="G12" i="3" s="1"/>
  <c r="D12" i="3"/>
  <c r="E11" i="3"/>
  <c r="G11" i="3" s="1"/>
  <c r="E9" i="3"/>
  <c r="G9" i="3" s="1"/>
  <c r="F7" i="3"/>
  <c r="E7" i="3"/>
  <c r="D7" i="3"/>
  <c r="G7" i="3" s="1"/>
  <c r="F6" i="3"/>
  <c r="F40" i="3" s="1"/>
  <c r="E6" i="3"/>
  <c r="E40" i="3" s="1"/>
  <c r="D6" i="3"/>
  <c r="G6" i="3" s="1"/>
  <c r="L13" i="3" l="1"/>
  <c r="L21" i="3"/>
  <c r="L33" i="3"/>
  <c r="L37" i="3"/>
  <c r="L22" i="3"/>
  <c r="L12" i="3"/>
  <c r="G40" i="3"/>
  <c r="L9" i="3"/>
  <c r="L17" i="3"/>
  <c r="L39" i="3"/>
  <c r="L18" i="3"/>
  <c r="L7" i="3"/>
  <c r="L15" i="3"/>
  <c r="L23" i="3"/>
  <c r="L25" i="3"/>
  <c r="L35" i="3"/>
  <c r="L14" i="3"/>
  <c r="D40" i="3"/>
  <c r="K6" i="3"/>
  <c r="L6" i="3" l="1"/>
  <c r="K40" i="3"/>
  <c r="L40" i="3" s="1"/>
</calcChain>
</file>

<file path=xl/sharedStrings.xml><?xml version="1.0" encoding="utf-8"?>
<sst xmlns="http://schemas.openxmlformats.org/spreadsheetml/2006/main" count="448" uniqueCount="74">
  <si>
    <t>County</t>
  </si>
  <si>
    <t>SUB COUNTY 1</t>
  </si>
  <si>
    <t xml:space="preserve">Boys </t>
  </si>
  <si>
    <t>Girls</t>
  </si>
  <si>
    <t>Total</t>
  </si>
  <si>
    <t>n</t>
  </si>
  <si>
    <t>%</t>
  </si>
  <si>
    <t xml:space="preserve"> Regular Enrolment</t>
  </si>
  <si>
    <t xml:space="preserve"> Disability Enrolment</t>
  </si>
  <si>
    <t>SUB COUNTY 2</t>
  </si>
  <si>
    <t>2019-2020</t>
  </si>
  <si>
    <t>2021-2022</t>
  </si>
  <si>
    <t>Boys</t>
  </si>
  <si>
    <t>Sub-County</t>
  </si>
  <si>
    <t>Total Boys</t>
  </si>
  <si>
    <t>Total Girls</t>
  </si>
  <si>
    <t>TOTAL</t>
  </si>
  <si>
    <t>NILL</t>
  </si>
  <si>
    <t>County 10</t>
  </si>
  <si>
    <t>Regular Enrolment</t>
  </si>
  <si>
    <t>SUB COUNTY 5</t>
  </si>
  <si>
    <t>County 12</t>
  </si>
  <si>
    <t>SUB COUNTY 66</t>
  </si>
  <si>
    <t>SUB COUNTY 67</t>
  </si>
  <si>
    <t>SUB COUNTY 68</t>
  </si>
  <si>
    <t>SUB COUNTY 69</t>
  </si>
  <si>
    <t>County 13</t>
  </si>
  <si>
    <t>SUB COUNTY 71</t>
  </si>
  <si>
    <t>SUB COUNTY 70</t>
  </si>
  <si>
    <t>SUB COUNTY 72</t>
  </si>
  <si>
    <t>SUB COUNTY 73</t>
  </si>
  <si>
    <t>County 2</t>
  </si>
  <si>
    <t>SUB COUNTY 25</t>
  </si>
  <si>
    <t>SUB COUNTY 26</t>
  </si>
  <si>
    <t>SUB COUNTY 29</t>
  </si>
  <si>
    <t>County 3</t>
  </si>
  <si>
    <t>SUB COUNTY 40</t>
  </si>
  <si>
    <t>SUB COUNTY 45</t>
  </si>
  <si>
    <t>County 4</t>
  </si>
  <si>
    <t>SUB COUNTY 46</t>
  </si>
  <si>
    <t>SUB COUNTY 47</t>
  </si>
  <si>
    <t>County 5</t>
  </si>
  <si>
    <t>SUB COUNTY 49</t>
  </si>
  <si>
    <t>SUB COUNTY 51</t>
  </si>
  <si>
    <t>SUB COUNTY 53</t>
  </si>
  <si>
    <t>SUB COUNTY 54</t>
  </si>
  <si>
    <t>County 6</t>
  </si>
  <si>
    <t>SUB COUNTY 55</t>
  </si>
  <si>
    <t>SUB COUNTY 56</t>
  </si>
  <si>
    <t>SUB COUNTY 60</t>
  </si>
  <si>
    <t>County 7</t>
  </si>
  <si>
    <t>SUB COUNTY 63</t>
  </si>
  <si>
    <t>SUB COUNTY 64</t>
  </si>
  <si>
    <t>SUB COUNTY 65</t>
  </si>
  <si>
    <t>County 8</t>
  </si>
  <si>
    <t>SUB COUNTY 17</t>
  </si>
  <si>
    <t>SUB COUNTY 19</t>
  </si>
  <si>
    <t>SUB COUNTY 20</t>
  </si>
  <si>
    <t>SUB COUNTY 24</t>
  </si>
  <si>
    <t>County 9</t>
  </si>
  <si>
    <t>SUB COUNTY 14</t>
  </si>
  <si>
    <t>SUB COUNTY 16</t>
  </si>
  <si>
    <t>county x</t>
  </si>
  <si>
    <t>SUB COUNTY xx</t>
  </si>
  <si>
    <t>SUB COUNTY xx1</t>
  </si>
  <si>
    <t>Register</t>
  </si>
  <si>
    <t>Digital Attendance App</t>
  </si>
  <si>
    <t>Confirming attendance</t>
  </si>
  <si>
    <t>Yes</t>
  </si>
  <si>
    <t>No</t>
  </si>
  <si>
    <t>Digital Attendance App use trainning</t>
  </si>
  <si>
    <t xml:space="preserve">County </t>
  </si>
  <si>
    <t>Disability Enrolment</t>
  </si>
  <si>
    <t>All learners registered with NEMIS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</si>
</sst>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9F99-EF65-4DDD-963F-BD2849E1208A}">
  <dimension ref="C2:U110"/>
  <sheetViews>
    <sheetView tabSelected="1" topLeftCell="B53" workbookViewId="0">
      <selection activeCell="K67" sqref="K67"/>
    </sheetView>
  </sheetViews>
  <sheetFormatPr defaultRowHeight="14.5" x14ac:dyDescent="0.35"/>
  <cols>
    <col min="1" max="1" width="5.453125" customWidth="1"/>
    <col min="2" max="2" width="4.1796875" customWidth="1"/>
    <col min="3" max="3" width="15" customWidth="1"/>
    <col min="15" max="15" width="15.453125" customWidth="1"/>
  </cols>
  <sheetData>
    <row r="2" spans="3:21" x14ac:dyDescent="0.35">
      <c r="D2" s="3"/>
      <c r="E2" s="3"/>
      <c r="F2" s="3"/>
      <c r="G2" s="3"/>
      <c r="H2" s="3"/>
      <c r="I2" s="1"/>
    </row>
    <row r="3" spans="3:21" x14ac:dyDescent="0.35">
      <c r="D3" s="3" t="s">
        <v>7</v>
      </c>
      <c r="E3" s="3"/>
      <c r="F3" s="3"/>
      <c r="G3" s="3"/>
      <c r="H3" s="3"/>
      <c r="I3" s="3"/>
      <c r="P3" s="3" t="s">
        <v>8</v>
      </c>
      <c r="Q3" s="3"/>
      <c r="R3" s="3"/>
      <c r="S3" s="3"/>
      <c r="T3" s="3"/>
      <c r="U3" s="3"/>
    </row>
    <row r="4" spans="3:21" x14ac:dyDescent="0.35">
      <c r="C4" t="s">
        <v>18</v>
      </c>
      <c r="D4" s="3" t="s">
        <v>2</v>
      </c>
      <c r="E4" s="3"/>
      <c r="F4" s="3" t="s">
        <v>3</v>
      </c>
      <c r="G4" s="3"/>
      <c r="H4" s="3" t="s">
        <v>4</v>
      </c>
      <c r="I4" s="3"/>
      <c r="O4" t="s">
        <v>18</v>
      </c>
      <c r="P4" s="3" t="s">
        <v>2</v>
      </c>
      <c r="Q4" s="3"/>
      <c r="R4" s="3" t="s">
        <v>3</v>
      </c>
      <c r="S4" s="3"/>
      <c r="T4" s="3" t="s">
        <v>4</v>
      </c>
      <c r="U4" s="3"/>
    </row>
    <row r="5" spans="3:21" x14ac:dyDescent="0.35">
      <c r="D5" s="1" t="s">
        <v>5</v>
      </c>
      <c r="E5" s="1" t="s">
        <v>6</v>
      </c>
      <c r="F5" s="1" t="s">
        <v>5</v>
      </c>
      <c r="G5" s="1" t="s">
        <v>6</v>
      </c>
      <c r="H5" s="1" t="s">
        <v>5</v>
      </c>
      <c r="I5" s="1" t="s">
        <v>6</v>
      </c>
      <c r="P5" s="1" t="s">
        <v>5</v>
      </c>
      <c r="Q5" s="1" t="s">
        <v>6</v>
      </c>
      <c r="R5" s="1" t="s">
        <v>5</v>
      </c>
      <c r="S5" s="1" t="s">
        <v>6</v>
      </c>
      <c r="T5" s="1" t="s">
        <v>5</v>
      </c>
      <c r="U5" s="1" t="s">
        <v>6</v>
      </c>
    </row>
    <row r="6" spans="3:21" x14ac:dyDescent="0.35">
      <c r="C6" t="s">
        <v>1</v>
      </c>
      <c r="D6">
        <f>12+106+68+44+103</f>
        <v>333</v>
      </c>
      <c r="E6">
        <f>(333/(333+367))*100</f>
        <v>47.571428571428569</v>
      </c>
      <c r="F6">
        <f>14+102+80+48+123</f>
        <v>367</v>
      </c>
      <c r="G6">
        <f>(367/(333+367))*100</f>
        <v>52.428571428571423</v>
      </c>
      <c r="H6">
        <v>26</v>
      </c>
      <c r="I6">
        <v>100</v>
      </c>
      <c r="O6" t="s">
        <v>1</v>
      </c>
      <c r="P6">
        <v>11</v>
      </c>
      <c r="Q6">
        <v>55</v>
      </c>
      <c r="R6">
        <v>9</v>
      </c>
      <c r="S6">
        <f>(9/20)*100</f>
        <v>45</v>
      </c>
      <c r="T6">
        <v>20</v>
      </c>
      <c r="U6">
        <v>100</v>
      </c>
    </row>
    <row r="7" spans="3:21" x14ac:dyDescent="0.35">
      <c r="C7" t="s">
        <v>9</v>
      </c>
      <c r="D7">
        <f>74+61+55+53</f>
        <v>243</v>
      </c>
      <c r="E7">
        <f>(243/(243+197))*100</f>
        <v>55.227272727272727</v>
      </c>
      <c r="F7">
        <f>97+40+17+43</f>
        <v>197</v>
      </c>
      <c r="G7">
        <f>(197/(197+243))*100</f>
        <v>44.772727272727273</v>
      </c>
      <c r="H7">
        <f>243+197</f>
        <v>440</v>
      </c>
      <c r="I7">
        <f>G7+E7</f>
        <v>100</v>
      </c>
      <c r="O7" t="s">
        <v>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3:21" x14ac:dyDescent="0.35">
      <c r="C8" t="s">
        <v>20</v>
      </c>
      <c r="D8">
        <v>44</v>
      </c>
      <c r="E8">
        <f>(44/(44+33))*100</f>
        <v>57.142857142857139</v>
      </c>
      <c r="F8">
        <v>33</v>
      </c>
      <c r="G8">
        <f>(33/(44+33))*100</f>
        <v>42.857142857142854</v>
      </c>
      <c r="H8">
        <v>77</v>
      </c>
      <c r="I8">
        <v>100</v>
      </c>
      <c r="O8" t="s">
        <v>20</v>
      </c>
      <c r="P8">
        <v>13</v>
      </c>
      <c r="Q8">
        <f>(13/16)*100</f>
        <v>81.25</v>
      </c>
      <c r="R8">
        <v>3</v>
      </c>
      <c r="S8">
        <f>(3/16)*100</f>
        <v>18.75</v>
      </c>
      <c r="T8">
        <v>16</v>
      </c>
      <c r="U8">
        <v>100</v>
      </c>
    </row>
    <row r="12" spans="3:21" x14ac:dyDescent="0.35">
      <c r="D12" s="3" t="s">
        <v>19</v>
      </c>
      <c r="E12" s="3"/>
      <c r="F12" s="3"/>
      <c r="G12" s="3"/>
      <c r="H12" s="3"/>
      <c r="I12" s="3"/>
      <c r="P12" s="3" t="s">
        <v>8</v>
      </c>
      <c r="Q12" s="3"/>
      <c r="R12" s="3"/>
      <c r="S12" s="3"/>
      <c r="T12" s="3"/>
      <c r="U12" s="3"/>
    </row>
    <row r="13" spans="3:21" x14ac:dyDescent="0.35">
      <c r="C13" t="s">
        <v>21</v>
      </c>
      <c r="D13" s="3" t="s">
        <v>2</v>
      </c>
      <c r="E13" s="3"/>
      <c r="F13" s="3" t="s">
        <v>3</v>
      </c>
      <c r="G13" s="3"/>
      <c r="H13" s="3" t="s">
        <v>4</v>
      </c>
      <c r="I13" s="3"/>
      <c r="O13" t="s">
        <v>21</v>
      </c>
      <c r="P13" s="3" t="s">
        <v>2</v>
      </c>
      <c r="Q13" s="3"/>
      <c r="R13" s="3" t="s">
        <v>3</v>
      </c>
      <c r="S13" s="3"/>
      <c r="T13" s="3" t="s">
        <v>4</v>
      </c>
      <c r="U13" s="3"/>
    </row>
    <row r="14" spans="3:21" x14ac:dyDescent="0.35">
      <c r="D14" s="1" t="s">
        <v>5</v>
      </c>
      <c r="E14" s="1" t="s">
        <v>6</v>
      </c>
      <c r="F14" s="1" t="s">
        <v>5</v>
      </c>
      <c r="G14" s="1" t="s">
        <v>6</v>
      </c>
      <c r="H14" s="1" t="s">
        <v>5</v>
      </c>
      <c r="I14" s="1" t="s">
        <v>6</v>
      </c>
      <c r="P14" s="1" t="s">
        <v>5</v>
      </c>
      <c r="Q14" s="1" t="s">
        <v>6</v>
      </c>
      <c r="R14" s="1" t="s">
        <v>5</v>
      </c>
      <c r="S14" s="1" t="s">
        <v>6</v>
      </c>
      <c r="T14" s="1" t="s">
        <v>5</v>
      </c>
      <c r="U14" s="1" t="s">
        <v>6</v>
      </c>
    </row>
    <row r="15" spans="3:21" x14ac:dyDescent="0.35">
      <c r="C15" t="s">
        <v>22</v>
      </c>
      <c r="D15">
        <f>112+12+147</f>
        <v>271</v>
      </c>
      <c r="E15">
        <f>(271/(271+284))*100</f>
        <v>48.828828828828833</v>
      </c>
      <c r="F15">
        <f>105+18+161</f>
        <v>284</v>
      </c>
      <c r="G15">
        <f>(284/(284+271))*100</f>
        <v>51.171171171171167</v>
      </c>
      <c r="H15">
        <f>271+284</f>
        <v>555</v>
      </c>
      <c r="I15">
        <v>100</v>
      </c>
      <c r="O15" t="s">
        <v>22</v>
      </c>
      <c r="P15">
        <v>1</v>
      </c>
      <c r="Q15">
        <v>50</v>
      </c>
      <c r="R15">
        <v>1</v>
      </c>
      <c r="S15">
        <v>50</v>
      </c>
      <c r="T15">
        <v>2</v>
      </c>
      <c r="U15">
        <v>100</v>
      </c>
    </row>
    <row r="16" spans="3:21" x14ac:dyDescent="0.35">
      <c r="C16" t="s">
        <v>23</v>
      </c>
      <c r="D16">
        <f>17+4</f>
        <v>21</v>
      </c>
      <c r="E16">
        <f>(21/(21+22))*100</f>
        <v>48.837209302325576</v>
      </c>
      <c r="F16">
        <f>19+3</f>
        <v>22</v>
      </c>
      <c r="G16">
        <f>(22/(21+22))*100</f>
        <v>51.162790697674424</v>
      </c>
      <c r="H16">
        <v>43</v>
      </c>
      <c r="I16">
        <v>100</v>
      </c>
      <c r="O16" t="s">
        <v>23</v>
      </c>
      <c r="P16">
        <v>4</v>
      </c>
      <c r="Q16">
        <f>(4/9)*100</f>
        <v>44.444444444444443</v>
      </c>
      <c r="R16">
        <v>5</v>
      </c>
      <c r="S16">
        <f>(5/9)*100</f>
        <v>55.555555555555557</v>
      </c>
      <c r="T16">
        <v>9</v>
      </c>
      <c r="U16">
        <v>100</v>
      </c>
    </row>
    <row r="17" spans="3:21" x14ac:dyDescent="0.35">
      <c r="C17" t="s">
        <v>24</v>
      </c>
      <c r="D17">
        <f>104+160+40+104</f>
        <v>408</v>
      </c>
      <c r="E17">
        <f>(408/(365+408))*100</f>
        <v>52.781371280724457</v>
      </c>
      <c r="F17">
        <f>86+127+42+110</f>
        <v>365</v>
      </c>
      <c r="G17">
        <f>(365/(365+408))*100</f>
        <v>47.21862871927555</v>
      </c>
      <c r="H17">
        <f>408+365</f>
        <v>773</v>
      </c>
      <c r="I17">
        <v>100</v>
      </c>
      <c r="O17" t="s">
        <v>24</v>
      </c>
      <c r="P17">
        <v>25</v>
      </c>
      <c r="Q17">
        <f>(25/52)*100</f>
        <v>48.07692307692308</v>
      </c>
      <c r="R17">
        <v>27</v>
      </c>
      <c r="S17">
        <f>(27/52)*100</f>
        <v>51.923076923076927</v>
      </c>
      <c r="T17">
        <f>27+25</f>
        <v>52</v>
      </c>
      <c r="U17">
        <v>100</v>
      </c>
    </row>
    <row r="18" spans="3:21" x14ac:dyDescent="0.35">
      <c r="C18" t="s">
        <v>25</v>
      </c>
      <c r="D18">
        <f>30+518+36</f>
        <v>584</v>
      </c>
      <c r="E18">
        <f>(584/(698+584))*100</f>
        <v>45.553822152886113</v>
      </c>
      <c r="F18">
        <f>37+9+614+38</f>
        <v>698</v>
      </c>
      <c r="G18">
        <f>(698/(698+584))*100</f>
        <v>54.446177847113887</v>
      </c>
      <c r="H18">
        <f>584+698</f>
        <v>1282</v>
      </c>
      <c r="I18">
        <v>100</v>
      </c>
      <c r="O18" t="s">
        <v>25</v>
      </c>
      <c r="P18">
        <v>11</v>
      </c>
      <c r="Q18">
        <f>(11/21)*100</f>
        <v>52.380952380952387</v>
      </c>
      <c r="R18">
        <v>10</v>
      </c>
      <c r="S18">
        <f>(10/21)*100</f>
        <v>47.619047619047613</v>
      </c>
      <c r="T18">
        <v>21</v>
      </c>
      <c r="U18">
        <v>100</v>
      </c>
    </row>
    <row r="21" spans="3:21" x14ac:dyDescent="0.35">
      <c r="D21" s="3" t="s">
        <v>7</v>
      </c>
      <c r="E21" s="3"/>
      <c r="F21" s="3"/>
      <c r="G21" s="3"/>
      <c r="H21" s="3"/>
      <c r="I21" s="3"/>
      <c r="P21" s="3" t="s">
        <v>8</v>
      </c>
      <c r="Q21" s="3"/>
      <c r="R21" s="3"/>
      <c r="S21" s="3"/>
      <c r="T21" s="3"/>
      <c r="U21" s="3"/>
    </row>
    <row r="22" spans="3:21" x14ac:dyDescent="0.35">
      <c r="C22" t="s">
        <v>26</v>
      </c>
      <c r="D22" s="3" t="s">
        <v>2</v>
      </c>
      <c r="E22" s="3"/>
      <c r="F22" s="3" t="s">
        <v>3</v>
      </c>
      <c r="G22" s="3"/>
      <c r="H22" s="3" t="s">
        <v>4</v>
      </c>
      <c r="I22" s="3"/>
      <c r="O22" t="s">
        <v>26</v>
      </c>
      <c r="P22" s="3" t="s">
        <v>2</v>
      </c>
      <c r="Q22" s="3"/>
      <c r="R22" s="3" t="s">
        <v>3</v>
      </c>
      <c r="S22" s="3"/>
      <c r="T22" s="3" t="s">
        <v>4</v>
      </c>
      <c r="U22" s="3"/>
    </row>
    <row r="23" spans="3:21" x14ac:dyDescent="0.35">
      <c r="D23" s="1" t="s">
        <v>5</v>
      </c>
      <c r="E23" s="1" t="s">
        <v>6</v>
      </c>
      <c r="F23" s="1" t="s">
        <v>5</v>
      </c>
      <c r="G23" s="1" t="s">
        <v>6</v>
      </c>
      <c r="H23" s="1" t="s">
        <v>5</v>
      </c>
      <c r="I23" s="1" t="s">
        <v>6</v>
      </c>
      <c r="P23" s="1" t="s">
        <v>5</v>
      </c>
      <c r="Q23" s="1" t="s">
        <v>6</v>
      </c>
      <c r="R23" s="1" t="s">
        <v>5</v>
      </c>
      <c r="S23" s="1" t="s">
        <v>6</v>
      </c>
      <c r="T23" s="1" t="s">
        <v>5</v>
      </c>
      <c r="U23" s="1" t="s">
        <v>6</v>
      </c>
    </row>
    <row r="24" spans="3:21" x14ac:dyDescent="0.35">
      <c r="C24" t="s">
        <v>27</v>
      </c>
      <c r="D24">
        <f>57+74+22</f>
        <v>153</v>
      </c>
      <c r="E24">
        <f>(153/(122+153))*100</f>
        <v>55.63636363636364</v>
      </c>
      <c r="F24">
        <f>42+56+24</f>
        <v>122</v>
      </c>
      <c r="G24">
        <f>(122/(122+153))*100</f>
        <v>44.363636363636367</v>
      </c>
      <c r="H24">
        <f>153+122</f>
        <v>275</v>
      </c>
      <c r="I24">
        <v>100</v>
      </c>
      <c r="O24" t="s">
        <v>27</v>
      </c>
      <c r="P24">
        <v>8</v>
      </c>
      <c r="Q24">
        <f>(8/11)*100</f>
        <v>72.727272727272734</v>
      </c>
      <c r="R24">
        <v>3</v>
      </c>
      <c r="S24">
        <f>(3/11)*100</f>
        <v>27.27272727272727</v>
      </c>
      <c r="T24">
        <v>11</v>
      </c>
      <c r="U24">
        <v>100</v>
      </c>
    </row>
    <row r="25" spans="3:21" x14ac:dyDescent="0.35">
      <c r="C25" t="s">
        <v>28</v>
      </c>
      <c r="D25">
        <f>48+23</f>
        <v>71</v>
      </c>
      <c r="E25">
        <f>(71/(64+71))*100</f>
        <v>52.592592592592588</v>
      </c>
      <c r="F25">
        <v>64</v>
      </c>
      <c r="G25">
        <f>(64/(64+71))*100</f>
        <v>47.407407407407412</v>
      </c>
      <c r="H25">
        <f>71+64</f>
        <v>135</v>
      </c>
      <c r="I25">
        <v>100</v>
      </c>
      <c r="O25" t="s">
        <v>29</v>
      </c>
      <c r="P25">
        <v>0</v>
      </c>
      <c r="Q25">
        <v>0</v>
      </c>
      <c r="R25">
        <v>1</v>
      </c>
      <c r="S25">
        <v>100</v>
      </c>
      <c r="T25">
        <v>1</v>
      </c>
      <c r="U25">
        <v>100</v>
      </c>
    </row>
    <row r="26" spans="3:21" x14ac:dyDescent="0.35">
      <c r="C26" t="s">
        <v>29</v>
      </c>
      <c r="D26">
        <f>27+23+15</f>
        <v>65</v>
      </c>
      <c r="E26">
        <f>(65/(75+65))*100</f>
        <v>46.428571428571431</v>
      </c>
      <c r="F26">
        <f>52+19+4</f>
        <v>75</v>
      </c>
      <c r="G26">
        <f>(75/(75+65))*100</f>
        <v>53.571428571428569</v>
      </c>
      <c r="H26">
        <f>75+65</f>
        <v>140</v>
      </c>
      <c r="I26">
        <v>100</v>
      </c>
      <c r="O26" t="s">
        <v>30</v>
      </c>
      <c r="P26">
        <v>24</v>
      </c>
      <c r="Q26">
        <f>(24/67)*100</f>
        <v>35.820895522388057</v>
      </c>
      <c r="R26">
        <v>43</v>
      </c>
      <c r="S26">
        <f>(43/67)*100</f>
        <v>64.179104477611943</v>
      </c>
      <c r="T26">
        <f>43+24</f>
        <v>67</v>
      </c>
      <c r="U26">
        <v>100</v>
      </c>
    </row>
    <row r="27" spans="3:21" x14ac:dyDescent="0.35">
      <c r="C27" t="s">
        <v>30</v>
      </c>
      <c r="D27">
        <f>100+139+65+109+102</f>
        <v>515</v>
      </c>
      <c r="E27">
        <f>(515/(344+515))*100</f>
        <v>59.953434225844006</v>
      </c>
      <c r="F27">
        <f>101+72+44+56+71</f>
        <v>344</v>
      </c>
      <c r="G27">
        <f>(344/(344+515))*100</f>
        <v>40.046565774155994</v>
      </c>
      <c r="H27">
        <f>344+515</f>
        <v>859</v>
      </c>
      <c r="I27">
        <v>100</v>
      </c>
    </row>
    <row r="30" spans="3:21" x14ac:dyDescent="0.35">
      <c r="D30" s="3" t="s">
        <v>19</v>
      </c>
      <c r="E30" s="3"/>
      <c r="F30" s="3"/>
      <c r="G30" s="3"/>
      <c r="H30" s="3"/>
      <c r="I30" s="3"/>
      <c r="P30" s="3" t="s">
        <v>8</v>
      </c>
      <c r="Q30" s="3"/>
      <c r="R30" s="3"/>
      <c r="S30" s="3"/>
      <c r="T30" s="3"/>
      <c r="U30" s="3"/>
    </row>
    <row r="31" spans="3:21" x14ac:dyDescent="0.35">
      <c r="C31" t="s">
        <v>31</v>
      </c>
      <c r="D31" s="3" t="s">
        <v>2</v>
      </c>
      <c r="E31" s="3"/>
      <c r="F31" s="3" t="s">
        <v>3</v>
      </c>
      <c r="G31" s="3"/>
      <c r="H31" s="3" t="s">
        <v>4</v>
      </c>
      <c r="I31" s="3"/>
      <c r="O31" t="s">
        <v>31</v>
      </c>
      <c r="P31" s="3" t="s">
        <v>2</v>
      </c>
      <c r="Q31" s="3"/>
      <c r="R31" s="3" t="s">
        <v>3</v>
      </c>
      <c r="S31" s="3"/>
      <c r="T31" s="3" t="s">
        <v>4</v>
      </c>
      <c r="U31" s="3"/>
    </row>
    <row r="32" spans="3:21" x14ac:dyDescent="0.35">
      <c r="D32" s="1" t="s">
        <v>5</v>
      </c>
      <c r="E32" s="1" t="s">
        <v>6</v>
      </c>
      <c r="F32" s="1" t="s">
        <v>5</v>
      </c>
      <c r="G32" s="1" t="s">
        <v>6</v>
      </c>
      <c r="H32" s="1" t="s">
        <v>5</v>
      </c>
      <c r="I32" s="1" t="s">
        <v>6</v>
      </c>
      <c r="P32" s="1" t="s">
        <v>5</v>
      </c>
      <c r="Q32" s="1" t="s">
        <v>6</v>
      </c>
      <c r="R32" s="1" t="s">
        <v>5</v>
      </c>
      <c r="S32" s="1" t="s">
        <v>6</v>
      </c>
      <c r="T32" s="1" t="s">
        <v>5</v>
      </c>
      <c r="U32" s="1" t="s">
        <v>6</v>
      </c>
    </row>
    <row r="33" spans="3:21" x14ac:dyDescent="0.35">
      <c r="C33" t="s">
        <v>32</v>
      </c>
      <c r="D33">
        <f>79+54+8</f>
        <v>141</v>
      </c>
      <c r="E33">
        <f>(141/(103+141))*100</f>
        <v>57.786885245901644</v>
      </c>
      <c r="F33">
        <f>53+9+19+16+6</f>
        <v>103</v>
      </c>
      <c r="G33">
        <f>(103/(103+141))*100</f>
        <v>42.213114754098363</v>
      </c>
      <c r="H33">
        <f>141+103</f>
        <v>244</v>
      </c>
      <c r="I33">
        <f>100</f>
        <v>100</v>
      </c>
      <c r="O33" t="s">
        <v>32</v>
      </c>
      <c r="P33">
        <v>1</v>
      </c>
      <c r="Q33">
        <v>100</v>
      </c>
      <c r="R33">
        <v>0</v>
      </c>
      <c r="S33">
        <v>0</v>
      </c>
      <c r="T33">
        <v>1</v>
      </c>
      <c r="U33">
        <v>100</v>
      </c>
    </row>
    <row r="34" spans="3:21" x14ac:dyDescent="0.35">
      <c r="C34" t="s">
        <v>33</v>
      </c>
      <c r="D34">
        <f>70+95+13</f>
        <v>178</v>
      </c>
      <c r="E34">
        <f>(178/367)*100</f>
        <v>48.501362397820166</v>
      </c>
      <c r="F34">
        <f>54+125+10</f>
        <v>189</v>
      </c>
      <c r="G34">
        <f>(189/(189+178))*100</f>
        <v>51.498637602179841</v>
      </c>
      <c r="H34">
        <f>189+178</f>
        <v>367</v>
      </c>
      <c r="I34">
        <v>100</v>
      </c>
      <c r="O34" t="s">
        <v>33</v>
      </c>
      <c r="P34">
        <v>4</v>
      </c>
      <c r="Q34">
        <f>(4/6)*100</f>
        <v>66.666666666666657</v>
      </c>
      <c r="R34">
        <v>2</v>
      </c>
      <c r="S34">
        <f>(2/6)*100</f>
        <v>33.333333333333329</v>
      </c>
      <c r="T34">
        <v>6</v>
      </c>
      <c r="U34">
        <v>100</v>
      </c>
    </row>
    <row r="35" spans="3:21" x14ac:dyDescent="0.35">
      <c r="C35" t="s">
        <v>34</v>
      </c>
      <c r="D35">
        <f>183</f>
        <v>183</v>
      </c>
      <c r="E35">
        <f>(183/468)*100</f>
        <v>39.102564102564102</v>
      </c>
      <c r="F35">
        <f>121+46+55+63</f>
        <v>285</v>
      </c>
      <c r="G35">
        <f>(285/(285+183))*100</f>
        <v>60.897435897435891</v>
      </c>
      <c r="H35">
        <f>285+183</f>
        <v>468</v>
      </c>
      <c r="I35">
        <v>100</v>
      </c>
    </row>
    <row r="39" spans="3:21" x14ac:dyDescent="0.35">
      <c r="D39" s="3" t="s">
        <v>19</v>
      </c>
      <c r="E39" s="3"/>
      <c r="F39" s="3"/>
      <c r="G39" s="3"/>
      <c r="H39" s="3"/>
      <c r="I39" s="3"/>
      <c r="P39" s="3" t="s">
        <v>8</v>
      </c>
      <c r="Q39" s="3"/>
      <c r="R39" s="3"/>
      <c r="S39" s="3"/>
      <c r="T39" s="3"/>
      <c r="U39" s="3"/>
    </row>
    <row r="40" spans="3:21" x14ac:dyDescent="0.35">
      <c r="C40" t="s">
        <v>35</v>
      </c>
      <c r="D40" s="3" t="s">
        <v>2</v>
      </c>
      <c r="E40" s="3"/>
      <c r="F40" s="3" t="s">
        <v>3</v>
      </c>
      <c r="G40" s="3"/>
      <c r="H40" s="3" t="s">
        <v>4</v>
      </c>
      <c r="I40" s="3"/>
      <c r="O40" t="s">
        <v>35</v>
      </c>
      <c r="P40" s="3" t="s">
        <v>2</v>
      </c>
      <c r="Q40" s="3"/>
      <c r="R40" s="3" t="s">
        <v>3</v>
      </c>
      <c r="S40" s="3"/>
      <c r="T40" s="3" t="s">
        <v>4</v>
      </c>
      <c r="U40" s="3"/>
    </row>
    <row r="41" spans="3:21" x14ac:dyDescent="0.35">
      <c r="D41" s="1" t="s">
        <v>5</v>
      </c>
      <c r="E41" s="1" t="s">
        <v>6</v>
      </c>
      <c r="F41" s="1" t="s">
        <v>5</v>
      </c>
      <c r="G41" s="1" t="s">
        <v>6</v>
      </c>
      <c r="H41" s="1" t="s">
        <v>5</v>
      </c>
      <c r="I41" s="1" t="s">
        <v>6</v>
      </c>
      <c r="P41" s="1" t="s">
        <v>5</v>
      </c>
      <c r="Q41" s="1" t="s">
        <v>6</v>
      </c>
      <c r="R41" s="1" t="s">
        <v>5</v>
      </c>
      <c r="S41" s="1" t="s">
        <v>6</v>
      </c>
      <c r="T41" s="1" t="s">
        <v>5</v>
      </c>
      <c r="U41" s="1" t="s">
        <v>6</v>
      </c>
    </row>
    <row r="42" spans="3:21" x14ac:dyDescent="0.35">
      <c r="C42" t="s">
        <v>36</v>
      </c>
      <c r="D42">
        <v>334</v>
      </c>
      <c r="E42">
        <f>(334/676)*100</f>
        <v>49.408284023668642</v>
      </c>
      <c r="F42">
        <v>342</v>
      </c>
      <c r="G42">
        <f>(342/(342+334))*100</f>
        <v>50.591715976331365</v>
      </c>
      <c r="H42">
        <f>342+334</f>
        <v>676</v>
      </c>
      <c r="I42">
        <v>100</v>
      </c>
      <c r="O42" t="s">
        <v>36</v>
      </c>
      <c r="P42">
        <v>4</v>
      </c>
      <c r="Q42">
        <f>(4/9)*100</f>
        <v>44.444444444444443</v>
      </c>
      <c r="R42">
        <v>5</v>
      </c>
      <c r="S42">
        <f>(5/9)*100</f>
        <v>55.555555555555557</v>
      </c>
      <c r="T42">
        <v>9</v>
      </c>
      <c r="U42">
        <v>100</v>
      </c>
    </row>
    <row r="43" spans="3:21" x14ac:dyDescent="0.35">
      <c r="C43" t="s">
        <v>37</v>
      </c>
      <c r="D43">
        <f>20+27+28+5+14+12+23+6</f>
        <v>135</v>
      </c>
      <c r="E43">
        <f>(135/272)*100</f>
        <v>49.632352941176471</v>
      </c>
      <c r="F43">
        <f>25+23+15+22+48+4</f>
        <v>137</v>
      </c>
      <c r="G43">
        <f>(137/(137+135))*100</f>
        <v>50.367647058823529</v>
      </c>
      <c r="H43">
        <f>135+137</f>
        <v>272</v>
      </c>
      <c r="I43">
        <v>100</v>
      </c>
    </row>
    <row r="48" spans="3:21" x14ac:dyDescent="0.35">
      <c r="D48" s="3" t="s">
        <v>19</v>
      </c>
      <c r="E48" s="3"/>
      <c r="F48" s="3"/>
      <c r="G48" s="3"/>
      <c r="H48" s="3"/>
      <c r="I48" s="3"/>
      <c r="P48" s="3" t="s">
        <v>8</v>
      </c>
      <c r="Q48" s="3"/>
      <c r="R48" s="3"/>
      <c r="S48" s="3"/>
      <c r="T48" s="3"/>
      <c r="U48" s="3"/>
    </row>
    <row r="49" spans="3:21" x14ac:dyDescent="0.35">
      <c r="C49" t="s">
        <v>38</v>
      </c>
      <c r="D49" s="3" t="s">
        <v>2</v>
      </c>
      <c r="E49" s="3"/>
      <c r="F49" s="3" t="s">
        <v>3</v>
      </c>
      <c r="G49" s="3"/>
      <c r="H49" s="3" t="s">
        <v>4</v>
      </c>
      <c r="I49" s="3"/>
      <c r="O49" t="s">
        <v>38</v>
      </c>
      <c r="P49" s="3" t="s">
        <v>2</v>
      </c>
      <c r="Q49" s="3"/>
      <c r="R49" s="3" t="s">
        <v>3</v>
      </c>
      <c r="S49" s="3"/>
      <c r="T49" s="3" t="s">
        <v>4</v>
      </c>
      <c r="U49" s="3"/>
    </row>
    <row r="50" spans="3:21" x14ac:dyDescent="0.35">
      <c r="D50" s="1" t="s">
        <v>5</v>
      </c>
      <c r="E50" s="1" t="s">
        <v>6</v>
      </c>
      <c r="F50" s="1" t="s">
        <v>5</v>
      </c>
      <c r="G50" s="1" t="s">
        <v>6</v>
      </c>
      <c r="H50" s="1" t="s">
        <v>5</v>
      </c>
      <c r="I50" s="1" t="s">
        <v>6</v>
      </c>
      <c r="P50" s="1" t="s">
        <v>5</v>
      </c>
      <c r="Q50" s="1" t="s">
        <v>6</v>
      </c>
      <c r="R50" s="1" t="s">
        <v>5</v>
      </c>
      <c r="S50" s="1" t="s">
        <v>6</v>
      </c>
      <c r="T50" s="1" t="s">
        <v>5</v>
      </c>
      <c r="U50" s="1" t="s">
        <v>6</v>
      </c>
    </row>
    <row r="51" spans="3:21" x14ac:dyDescent="0.35">
      <c r="C51" t="s">
        <v>39</v>
      </c>
      <c r="D51">
        <f>15+24+22</f>
        <v>61</v>
      </c>
      <c r="E51">
        <f>(61/129)*100</f>
        <v>47.286821705426355</v>
      </c>
      <c r="F51">
        <f>12+21+35</f>
        <v>68</v>
      </c>
      <c r="G51">
        <f>(68/(68+61))*100</f>
        <v>52.713178294573652</v>
      </c>
      <c r="H51">
        <f>68+61</f>
        <v>129</v>
      </c>
      <c r="I51">
        <v>100</v>
      </c>
      <c r="O51" t="s">
        <v>39</v>
      </c>
      <c r="P51">
        <v>2</v>
      </c>
      <c r="Q51">
        <f>(2/3)*100</f>
        <v>66.666666666666657</v>
      </c>
      <c r="R51">
        <v>1</v>
      </c>
      <c r="S51">
        <f>(1/3)*100</f>
        <v>33.333333333333329</v>
      </c>
      <c r="T51">
        <v>3</v>
      </c>
      <c r="U51">
        <v>100</v>
      </c>
    </row>
    <row r="52" spans="3:21" x14ac:dyDescent="0.35">
      <c r="C52" t="s">
        <v>40</v>
      </c>
      <c r="D52">
        <f>44+42+8+46+42</f>
        <v>182</v>
      </c>
      <c r="E52">
        <f>(182/309)*100</f>
        <v>58.899676375404532</v>
      </c>
      <c r="F52">
        <f>33+29+6+24+28+7</f>
        <v>127</v>
      </c>
      <c r="G52">
        <f>(127/(127+182))*100</f>
        <v>41.100323624595468</v>
      </c>
      <c r="H52">
        <f>127+182</f>
        <v>309</v>
      </c>
      <c r="I52">
        <v>100</v>
      </c>
      <c r="O52" t="s">
        <v>40</v>
      </c>
      <c r="P52">
        <v>9</v>
      </c>
      <c r="Q52">
        <v>60</v>
      </c>
      <c r="R52">
        <v>6</v>
      </c>
      <c r="S52">
        <f>(6/15)*100</f>
        <v>40</v>
      </c>
      <c r="T52">
        <f>9+6</f>
        <v>15</v>
      </c>
      <c r="U52">
        <v>100</v>
      </c>
    </row>
    <row r="58" spans="3:21" x14ac:dyDescent="0.35">
      <c r="D58" s="3" t="s">
        <v>19</v>
      </c>
      <c r="E58" s="3"/>
      <c r="F58" s="3"/>
      <c r="G58" s="3"/>
      <c r="H58" s="3"/>
      <c r="I58" s="3"/>
      <c r="P58" s="3" t="s">
        <v>8</v>
      </c>
      <c r="Q58" s="3"/>
      <c r="R58" s="3"/>
      <c r="S58" s="3"/>
      <c r="T58" s="3"/>
      <c r="U58" s="3"/>
    </row>
    <row r="59" spans="3:21" x14ac:dyDescent="0.35">
      <c r="C59" t="s">
        <v>41</v>
      </c>
      <c r="D59" s="3" t="s">
        <v>2</v>
      </c>
      <c r="E59" s="3"/>
      <c r="F59" s="3" t="s">
        <v>3</v>
      </c>
      <c r="G59" s="3"/>
      <c r="H59" s="3" t="s">
        <v>4</v>
      </c>
      <c r="I59" s="3"/>
      <c r="O59" t="s">
        <v>41</v>
      </c>
      <c r="P59" s="3" t="s">
        <v>2</v>
      </c>
      <c r="Q59" s="3"/>
      <c r="R59" s="3" t="s">
        <v>3</v>
      </c>
      <c r="S59" s="3"/>
      <c r="T59" s="3" t="s">
        <v>4</v>
      </c>
      <c r="U59" s="3"/>
    </row>
    <row r="60" spans="3:21" x14ac:dyDescent="0.35">
      <c r="D60" s="1" t="s">
        <v>5</v>
      </c>
      <c r="E60" s="1" t="s">
        <v>6</v>
      </c>
      <c r="F60" s="1" t="s">
        <v>5</v>
      </c>
      <c r="G60" s="1" t="s">
        <v>6</v>
      </c>
      <c r="H60" s="1" t="s">
        <v>5</v>
      </c>
      <c r="I60" s="1" t="s">
        <v>6</v>
      </c>
      <c r="P60" s="1" t="s">
        <v>5</v>
      </c>
      <c r="Q60" s="1" t="s">
        <v>6</v>
      </c>
      <c r="R60" s="1" t="s">
        <v>5</v>
      </c>
      <c r="S60" s="1" t="s">
        <v>6</v>
      </c>
      <c r="T60" s="1" t="s">
        <v>5</v>
      </c>
      <c r="U60" s="1" t="s">
        <v>6</v>
      </c>
    </row>
    <row r="61" spans="3:21" x14ac:dyDescent="0.35">
      <c r="C61" t="s">
        <v>42</v>
      </c>
      <c r="D61">
        <f>62+36+62+49</f>
        <v>209</v>
      </c>
      <c r="E61">
        <f>(209/(243+209))*100</f>
        <v>46.238938053097343</v>
      </c>
      <c r="F61">
        <f>43+34+43+64+59</f>
        <v>243</v>
      </c>
      <c r="G61">
        <f>(243/452)*100</f>
        <v>53.761061946902657</v>
      </c>
      <c r="H61">
        <f>243+209</f>
        <v>452</v>
      </c>
      <c r="I61">
        <v>100</v>
      </c>
      <c r="O61" t="s">
        <v>42</v>
      </c>
      <c r="P61">
        <v>14</v>
      </c>
      <c r="Q61">
        <v>50</v>
      </c>
      <c r="R61">
        <v>14</v>
      </c>
      <c r="S61">
        <v>50</v>
      </c>
      <c r="T61">
        <v>28</v>
      </c>
      <c r="U61">
        <v>100</v>
      </c>
    </row>
    <row r="62" spans="3:21" x14ac:dyDescent="0.35">
      <c r="C62" t="s">
        <v>43</v>
      </c>
      <c r="D62">
        <f>157+88+71+77+77</f>
        <v>470</v>
      </c>
      <c r="E62">
        <f>(470/810)*100</f>
        <v>58.024691358024697</v>
      </c>
      <c r="F62">
        <f>89+114+63+74</f>
        <v>340</v>
      </c>
      <c r="G62">
        <f>(340/810)*100</f>
        <v>41.975308641975303</v>
      </c>
      <c r="H62">
        <f>470+340</f>
        <v>810</v>
      </c>
      <c r="I62">
        <v>100</v>
      </c>
      <c r="O62" t="s">
        <v>43</v>
      </c>
      <c r="P62">
        <v>16</v>
      </c>
      <c r="Q62">
        <f>(16/22)*100</f>
        <v>72.727272727272734</v>
      </c>
      <c r="R62">
        <v>6</v>
      </c>
      <c r="S62">
        <f>(6/22)*100</f>
        <v>27.27272727272727</v>
      </c>
      <c r="T62">
        <v>22</v>
      </c>
      <c r="U62">
        <v>100</v>
      </c>
    </row>
    <row r="63" spans="3:21" x14ac:dyDescent="0.35">
      <c r="C63" t="s">
        <v>44</v>
      </c>
      <c r="D63">
        <f>258+102+304+218+135</f>
        <v>1017</v>
      </c>
      <c r="E63">
        <f>(1017/1884)*100</f>
        <v>53.98089171974523</v>
      </c>
      <c r="F63">
        <f>186+60+236+266+119</f>
        <v>867</v>
      </c>
      <c r="G63">
        <f>(867/1884)*100</f>
        <v>46.019108280254777</v>
      </c>
      <c r="H63">
        <f>1017+867</f>
        <v>1884</v>
      </c>
      <c r="I63">
        <v>100</v>
      </c>
      <c r="O63" t="s">
        <v>44</v>
      </c>
      <c r="P63">
        <v>8</v>
      </c>
      <c r="Q63">
        <f>(8/11)*100</f>
        <v>72.727272727272734</v>
      </c>
      <c r="R63">
        <v>3</v>
      </c>
      <c r="S63">
        <f>(3/11)*100</f>
        <v>27.27272727272727</v>
      </c>
      <c r="T63">
        <v>11</v>
      </c>
      <c r="U63">
        <v>100</v>
      </c>
    </row>
    <row r="64" spans="3:21" x14ac:dyDescent="0.35">
      <c r="C64" t="s">
        <v>45</v>
      </c>
      <c r="D64">
        <v>310</v>
      </c>
      <c r="E64">
        <f>(310/495)*100</f>
        <v>62.62626262626263</v>
      </c>
      <c r="F64">
        <v>185</v>
      </c>
      <c r="G64">
        <f>(185/495)*100</f>
        <v>37.373737373737377</v>
      </c>
      <c r="H64">
        <f>310+185</f>
        <v>495</v>
      </c>
      <c r="I64">
        <v>100</v>
      </c>
    </row>
    <row r="65" spans="3:21" x14ac:dyDescent="0.35">
      <c r="C65" t="s">
        <v>4</v>
      </c>
    </row>
    <row r="68" spans="3:21" x14ac:dyDescent="0.35">
      <c r="D68" s="3" t="s">
        <v>19</v>
      </c>
      <c r="E68" s="3"/>
      <c r="F68" s="3"/>
      <c r="G68" s="3"/>
      <c r="H68" s="3"/>
      <c r="I68" s="3"/>
      <c r="P68" s="3" t="s">
        <v>8</v>
      </c>
      <c r="Q68" s="3"/>
      <c r="R68" s="3"/>
      <c r="S68" s="3"/>
      <c r="T68" s="3"/>
      <c r="U68" s="3"/>
    </row>
    <row r="69" spans="3:21" x14ac:dyDescent="0.35">
      <c r="C69" t="s">
        <v>46</v>
      </c>
      <c r="D69" s="3" t="s">
        <v>2</v>
      </c>
      <c r="E69" s="3"/>
      <c r="F69" s="3" t="s">
        <v>3</v>
      </c>
      <c r="G69" s="3"/>
      <c r="H69" s="3" t="s">
        <v>4</v>
      </c>
      <c r="I69" s="3"/>
      <c r="O69" t="s">
        <v>46</v>
      </c>
      <c r="P69" s="3" t="s">
        <v>2</v>
      </c>
      <c r="Q69" s="3"/>
      <c r="R69" s="3" t="s">
        <v>3</v>
      </c>
      <c r="S69" s="3"/>
      <c r="T69" s="3" t="s">
        <v>4</v>
      </c>
      <c r="U69" s="3"/>
    </row>
    <row r="70" spans="3:21" x14ac:dyDescent="0.35">
      <c r="D70" s="1" t="s">
        <v>5</v>
      </c>
      <c r="E70" s="1" t="s">
        <v>6</v>
      </c>
      <c r="F70" s="1" t="s">
        <v>5</v>
      </c>
      <c r="G70" s="1" t="s">
        <v>6</v>
      </c>
      <c r="H70" s="1" t="s">
        <v>5</v>
      </c>
      <c r="I70" s="1" t="s">
        <v>6</v>
      </c>
      <c r="P70" s="1" t="s">
        <v>5</v>
      </c>
      <c r="Q70" s="1" t="s">
        <v>6</v>
      </c>
      <c r="R70" s="1" t="s">
        <v>5</v>
      </c>
      <c r="S70" s="1" t="s">
        <v>6</v>
      </c>
      <c r="T70" s="1" t="s">
        <v>5</v>
      </c>
      <c r="U70" s="1" t="s">
        <v>6</v>
      </c>
    </row>
    <row r="71" spans="3:21" x14ac:dyDescent="0.35">
      <c r="C71" t="s">
        <v>47</v>
      </c>
      <c r="D71">
        <f>110+708+30</f>
        <v>848</v>
      </c>
      <c r="E71">
        <f>(848/1257)*100</f>
        <v>67.462211614956246</v>
      </c>
      <c r="F71">
        <f>130+243+19+17</f>
        <v>409</v>
      </c>
      <c r="G71">
        <f>(409/1257)*100</f>
        <v>32.537788385043754</v>
      </c>
      <c r="H71">
        <f>848+409</f>
        <v>1257</v>
      </c>
      <c r="I71">
        <v>100</v>
      </c>
      <c r="O71" t="s">
        <v>47</v>
      </c>
      <c r="P71">
        <v>2</v>
      </c>
      <c r="Q71">
        <f>(2/3)*100</f>
        <v>66.666666666666657</v>
      </c>
      <c r="R71">
        <v>1</v>
      </c>
      <c r="S71">
        <f>(1/3)*100</f>
        <v>33.333333333333329</v>
      </c>
      <c r="T71">
        <v>3</v>
      </c>
      <c r="U71">
        <v>100</v>
      </c>
    </row>
    <row r="72" spans="3:21" x14ac:dyDescent="0.35">
      <c r="C72" t="s">
        <v>48</v>
      </c>
      <c r="D72">
        <f>600+230+130+372+130</f>
        <v>1462</v>
      </c>
      <c r="E72">
        <f>(1462/2497)*100</f>
        <v>58.550260312374846</v>
      </c>
      <c r="F72">
        <f>400+100+195+100+240</f>
        <v>1035</v>
      </c>
      <c r="G72">
        <f>(1035/2497)*100</f>
        <v>41.449739687625147</v>
      </c>
      <c r="H72">
        <f>1462+1035</f>
        <v>2497</v>
      </c>
      <c r="I72">
        <v>100</v>
      </c>
      <c r="O72" t="s">
        <v>48</v>
      </c>
      <c r="P72">
        <f>200+5+22</f>
        <v>227</v>
      </c>
      <c r="Q72">
        <f>(227/340)*100</f>
        <v>66.764705882352942</v>
      </c>
      <c r="R72">
        <f>113</f>
        <v>113</v>
      </c>
      <c r="S72">
        <f>(113/340)*100</f>
        <v>33.235294117647058</v>
      </c>
      <c r="T72">
        <f>227+113</f>
        <v>340</v>
      </c>
      <c r="U72">
        <v>100</v>
      </c>
    </row>
    <row r="73" spans="3:21" x14ac:dyDescent="0.35">
      <c r="C73" t="s">
        <v>49</v>
      </c>
      <c r="D73">
        <f>85+7</f>
        <v>92</v>
      </c>
      <c r="E73">
        <f>(92/169)*100</f>
        <v>54.437869822485204</v>
      </c>
      <c r="F73">
        <f>74+3</f>
        <v>77</v>
      </c>
      <c r="G73">
        <f>(77/169)*100</f>
        <v>45.562130177514796</v>
      </c>
      <c r="H73">
        <f>92+77</f>
        <v>169</v>
      </c>
      <c r="I73">
        <v>100</v>
      </c>
      <c r="O73" t="s">
        <v>49</v>
      </c>
      <c r="P73">
        <v>14</v>
      </c>
      <c r="Q73">
        <f>(14/26)*100</f>
        <v>53.846153846153847</v>
      </c>
      <c r="R73">
        <v>12</v>
      </c>
      <c r="S73">
        <f>(12/26)*100</f>
        <v>46.153846153846153</v>
      </c>
      <c r="T73">
        <v>26</v>
      </c>
      <c r="U73">
        <v>100</v>
      </c>
    </row>
    <row r="78" spans="3:21" x14ac:dyDescent="0.35">
      <c r="D78" s="3" t="s">
        <v>19</v>
      </c>
      <c r="E78" s="3"/>
      <c r="F78" s="3"/>
      <c r="G78" s="3"/>
      <c r="H78" s="3"/>
      <c r="I78" s="3"/>
      <c r="P78" s="3" t="s">
        <v>8</v>
      </c>
      <c r="Q78" s="3"/>
      <c r="R78" s="3"/>
      <c r="S78" s="3"/>
      <c r="T78" s="3"/>
      <c r="U78" s="3"/>
    </row>
    <row r="79" spans="3:21" x14ac:dyDescent="0.35">
      <c r="C79" t="s">
        <v>50</v>
      </c>
      <c r="D79" s="3" t="s">
        <v>2</v>
      </c>
      <c r="E79" s="3"/>
      <c r="F79" s="3" t="s">
        <v>3</v>
      </c>
      <c r="G79" s="3"/>
      <c r="H79" s="3" t="s">
        <v>4</v>
      </c>
      <c r="I79" s="3"/>
      <c r="O79" t="s">
        <v>50</v>
      </c>
      <c r="P79" s="3" t="s">
        <v>2</v>
      </c>
      <c r="Q79" s="3"/>
      <c r="R79" s="3" t="s">
        <v>3</v>
      </c>
      <c r="S79" s="3"/>
      <c r="T79" s="3" t="s">
        <v>4</v>
      </c>
      <c r="U79" s="3"/>
    </row>
    <row r="80" spans="3:21" x14ac:dyDescent="0.35">
      <c r="D80" s="1" t="s">
        <v>5</v>
      </c>
      <c r="E80" s="1" t="s">
        <v>6</v>
      </c>
      <c r="F80" s="1" t="s">
        <v>5</v>
      </c>
      <c r="G80" s="1" t="s">
        <v>6</v>
      </c>
      <c r="H80" s="1" t="s">
        <v>5</v>
      </c>
      <c r="I80" s="1" t="s">
        <v>6</v>
      </c>
      <c r="P80" s="1" t="s">
        <v>5</v>
      </c>
      <c r="Q80" s="1" t="s">
        <v>6</v>
      </c>
      <c r="R80" s="1" t="s">
        <v>5</v>
      </c>
      <c r="S80" s="1" t="s">
        <v>6</v>
      </c>
      <c r="T80" s="1" t="s">
        <v>5</v>
      </c>
      <c r="U80" s="1" t="s">
        <v>6</v>
      </c>
    </row>
    <row r="81" spans="3:21" x14ac:dyDescent="0.35">
      <c r="C81" t="s">
        <v>51</v>
      </c>
      <c r="D81">
        <f>78+22</f>
        <v>100</v>
      </c>
      <c r="E81">
        <f>(100/198)*100</f>
        <v>50.505050505050505</v>
      </c>
      <c r="F81">
        <f>65+33</f>
        <v>98</v>
      </c>
      <c r="G81">
        <f>(98/198)*100</f>
        <v>49.494949494949495</v>
      </c>
      <c r="H81">
        <v>198</v>
      </c>
      <c r="I81">
        <v>100</v>
      </c>
      <c r="O81" t="s">
        <v>51</v>
      </c>
      <c r="P81">
        <v>2</v>
      </c>
      <c r="Q81">
        <f>(2/3)*100</f>
        <v>66.666666666666657</v>
      </c>
      <c r="R81">
        <v>1</v>
      </c>
      <c r="S81">
        <f>(1/3)*100</f>
        <v>33.333333333333329</v>
      </c>
      <c r="T81">
        <v>3</v>
      </c>
      <c r="U81">
        <v>100</v>
      </c>
    </row>
    <row r="82" spans="3:21" x14ac:dyDescent="0.35">
      <c r="C82" t="s">
        <v>52</v>
      </c>
      <c r="D82">
        <v>63</v>
      </c>
      <c r="E82">
        <f>(63/94)*100</f>
        <v>67.021276595744681</v>
      </c>
      <c r="F82">
        <v>31</v>
      </c>
      <c r="G82">
        <f>(31/94)*100</f>
        <v>32.978723404255319</v>
      </c>
      <c r="H82">
        <v>94</v>
      </c>
      <c r="I82">
        <v>100</v>
      </c>
      <c r="O82" t="s">
        <v>52</v>
      </c>
      <c r="P82">
        <v>2</v>
      </c>
      <c r="Q82">
        <f>(2/3)*100</f>
        <v>66.666666666666657</v>
      </c>
      <c r="R82">
        <v>1</v>
      </c>
      <c r="S82">
        <f>(1/3)*100</f>
        <v>33.333333333333329</v>
      </c>
      <c r="T82">
        <v>3</v>
      </c>
      <c r="U82">
        <v>100</v>
      </c>
    </row>
    <row r="83" spans="3:21" x14ac:dyDescent="0.35">
      <c r="C83" t="s">
        <v>53</v>
      </c>
      <c r="D83">
        <f>78+36+10</f>
        <v>124</v>
      </c>
      <c r="E83">
        <f>(124/208)*100</f>
        <v>59.615384615384613</v>
      </c>
      <c r="F83">
        <f>34+44+6</f>
        <v>84</v>
      </c>
      <c r="G83">
        <f>(84/208)*100</f>
        <v>40.384615384615387</v>
      </c>
      <c r="H83">
        <f>124+84</f>
        <v>208</v>
      </c>
      <c r="I83">
        <v>100</v>
      </c>
      <c r="O83" t="s">
        <v>53</v>
      </c>
      <c r="P83">
        <f>44+23+3</f>
        <v>70</v>
      </c>
      <c r="Q83">
        <f>(70/113)*100</f>
        <v>61.946902654867252</v>
      </c>
      <c r="R83">
        <f>27+16</f>
        <v>43</v>
      </c>
      <c r="S83">
        <f>(43/113)*100</f>
        <v>38.053097345132741</v>
      </c>
      <c r="T83">
        <f>43+70</f>
        <v>113</v>
      </c>
    </row>
    <row r="88" spans="3:21" x14ac:dyDescent="0.35">
      <c r="D88" s="3" t="s">
        <v>19</v>
      </c>
      <c r="E88" s="3"/>
      <c r="F88" s="3"/>
      <c r="G88" s="3"/>
      <c r="H88" s="3"/>
      <c r="I88" s="3"/>
      <c r="P88" s="3" t="s">
        <v>8</v>
      </c>
      <c r="Q88" s="3"/>
      <c r="R88" s="3"/>
      <c r="S88" s="3"/>
      <c r="T88" s="3"/>
      <c r="U88" s="3"/>
    </row>
    <row r="89" spans="3:21" x14ac:dyDescent="0.35">
      <c r="C89" t="s">
        <v>54</v>
      </c>
      <c r="D89" s="3" t="s">
        <v>2</v>
      </c>
      <c r="E89" s="3"/>
      <c r="F89" s="3" t="s">
        <v>3</v>
      </c>
      <c r="G89" s="3"/>
      <c r="H89" s="3" t="s">
        <v>4</v>
      </c>
      <c r="I89" s="3"/>
      <c r="O89" t="s">
        <v>54</v>
      </c>
      <c r="P89" s="3" t="s">
        <v>2</v>
      </c>
      <c r="Q89" s="3"/>
      <c r="R89" s="3" t="s">
        <v>3</v>
      </c>
      <c r="S89" s="3"/>
      <c r="T89" s="3" t="s">
        <v>4</v>
      </c>
      <c r="U89" s="3"/>
    </row>
    <row r="90" spans="3:21" x14ac:dyDescent="0.35">
      <c r="D90" s="1" t="s">
        <v>5</v>
      </c>
      <c r="E90" s="1" t="s">
        <v>6</v>
      </c>
      <c r="F90" s="1" t="s">
        <v>5</v>
      </c>
      <c r="G90" s="1" t="s">
        <v>6</v>
      </c>
      <c r="H90" s="1" t="s">
        <v>5</v>
      </c>
      <c r="I90" s="1" t="s">
        <v>6</v>
      </c>
      <c r="P90" s="1" t="s">
        <v>5</v>
      </c>
      <c r="Q90" s="1" t="s">
        <v>6</v>
      </c>
      <c r="R90" s="1" t="s">
        <v>5</v>
      </c>
      <c r="S90" s="1" t="s">
        <v>6</v>
      </c>
      <c r="T90" s="1" t="s">
        <v>5</v>
      </c>
      <c r="U90" s="1" t="s">
        <v>6</v>
      </c>
    </row>
    <row r="91" spans="3:21" x14ac:dyDescent="0.35">
      <c r="C91" t="s">
        <v>55</v>
      </c>
      <c r="D91">
        <f>88+426+79+210+64+58+92</f>
        <v>1017</v>
      </c>
      <c r="E91">
        <f>(1017/1825)*100</f>
        <v>55.726027397260268</v>
      </c>
      <c r="F91">
        <f>71+70+375+64+129+49+19+31</f>
        <v>808</v>
      </c>
      <c r="G91">
        <f>(808/1825)*100</f>
        <v>44.273972602739725</v>
      </c>
      <c r="H91">
        <f>1017+808</f>
        <v>1825</v>
      </c>
      <c r="I91">
        <v>100</v>
      </c>
      <c r="O91" t="s">
        <v>55</v>
      </c>
      <c r="P91">
        <v>8</v>
      </c>
      <c r="Q91">
        <f>(8/82)*100</f>
        <v>9.7560975609756095</v>
      </c>
      <c r="R91">
        <v>74</v>
      </c>
      <c r="S91">
        <f>(74/82)*100</f>
        <v>90.243902439024396</v>
      </c>
      <c r="T91">
        <v>82</v>
      </c>
      <c r="U91">
        <v>100</v>
      </c>
    </row>
    <row r="92" spans="3:21" x14ac:dyDescent="0.35">
      <c r="C92" t="s">
        <v>56</v>
      </c>
      <c r="D92">
        <f>170+176+150+250+45+184+22+68+37+133+291+115+115+8+66</f>
        <v>1830</v>
      </c>
      <c r="E92">
        <f>(1830/2959)*100</f>
        <v>61.845217979046971</v>
      </c>
      <c r="F92">
        <f>94+105+68+150+33+227+19+47+33+67+161+72+7+46</f>
        <v>1129</v>
      </c>
      <c r="G92">
        <f>(1129/2959)*100</f>
        <v>38.154782020953029</v>
      </c>
      <c r="H92">
        <f>1830+1129</f>
        <v>2959</v>
      </c>
      <c r="I92">
        <v>100</v>
      </c>
      <c r="O92" t="s">
        <v>56</v>
      </c>
      <c r="P92">
        <f>3+25+1+29+10+15+12</f>
        <v>95</v>
      </c>
      <c r="Q92">
        <f>(95/148)*100</f>
        <v>64.189189189189193</v>
      </c>
      <c r="R92">
        <f>2+14+17+7+8+5</f>
        <v>53</v>
      </c>
      <c r="S92">
        <f>(53/148)*100</f>
        <v>35.810810810810814</v>
      </c>
      <c r="T92">
        <f>53+95</f>
        <v>148</v>
      </c>
      <c r="U92">
        <v>100</v>
      </c>
    </row>
    <row r="93" spans="3:21" x14ac:dyDescent="0.35">
      <c r="C93" t="s">
        <v>57</v>
      </c>
      <c r="D93">
        <f>58+43+314+25+8</f>
        <v>448</v>
      </c>
      <c r="E93">
        <f>(448/844)*100</f>
        <v>53.080568720379148</v>
      </c>
      <c r="F93">
        <f>31+31+293+35+6</f>
        <v>396</v>
      </c>
      <c r="G93">
        <f>(396/844)*100</f>
        <v>46.919431279620852</v>
      </c>
      <c r="H93">
        <f>448+396</f>
        <v>844</v>
      </c>
      <c r="I93">
        <v>100</v>
      </c>
      <c r="O93" t="s">
        <v>57</v>
      </c>
      <c r="P93">
        <v>8</v>
      </c>
      <c r="Q93">
        <f>(8/22)*100</f>
        <v>36.363636363636367</v>
      </c>
      <c r="R93">
        <v>14</v>
      </c>
      <c r="S93">
        <f>(14/22)*100</f>
        <v>63.636363636363633</v>
      </c>
      <c r="T93">
        <v>22</v>
      </c>
      <c r="U93">
        <v>100</v>
      </c>
    </row>
    <row r="94" spans="3:21" x14ac:dyDescent="0.35">
      <c r="C94" t="s">
        <v>58</v>
      </c>
      <c r="D94">
        <v>143</v>
      </c>
      <c r="E94">
        <f>(143/216)*100</f>
        <v>66.203703703703709</v>
      </c>
      <c r="F94">
        <v>73</v>
      </c>
      <c r="G94">
        <f>(73/216)*100</f>
        <v>33.796296296296298</v>
      </c>
      <c r="H94">
        <f>143+73</f>
        <v>216</v>
      </c>
      <c r="I94">
        <v>100</v>
      </c>
      <c r="O94" t="s">
        <v>58</v>
      </c>
      <c r="P94">
        <v>33</v>
      </c>
      <c r="Q94">
        <f>(33/57)*100</f>
        <v>57.894736842105267</v>
      </c>
      <c r="R94">
        <v>24</v>
      </c>
      <c r="S94">
        <f>(24/57)*100</f>
        <v>42.105263157894733</v>
      </c>
      <c r="T94">
        <v>57</v>
      </c>
      <c r="U94">
        <v>100</v>
      </c>
    </row>
    <row r="99" spans="3:21" x14ac:dyDescent="0.35">
      <c r="D99" s="3" t="s">
        <v>19</v>
      </c>
      <c r="E99" s="3"/>
      <c r="F99" s="3"/>
      <c r="G99" s="3"/>
      <c r="H99" s="3"/>
      <c r="I99" s="3"/>
      <c r="P99" s="3" t="s">
        <v>8</v>
      </c>
      <c r="Q99" s="3"/>
      <c r="R99" s="3"/>
      <c r="S99" s="3"/>
      <c r="T99" s="3"/>
      <c r="U99" s="3"/>
    </row>
    <row r="100" spans="3:21" x14ac:dyDescent="0.35">
      <c r="C100" t="s">
        <v>59</v>
      </c>
      <c r="D100" s="3" t="s">
        <v>2</v>
      </c>
      <c r="E100" s="3"/>
      <c r="F100" s="3" t="s">
        <v>3</v>
      </c>
      <c r="G100" s="3"/>
      <c r="H100" s="3" t="s">
        <v>4</v>
      </c>
      <c r="I100" s="3"/>
      <c r="O100" t="s">
        <v>59</v>
      </c>
      <c r="P100" s="3" t="s">
        <v>2</v>
      </c>
      <c r="Q100" s="3"/>
      <c r="R100" s="3" t="s">
        <v>3</v>
      </c>
      <c r="S100" s="3"/>
      <c r="T100" s="3" t="s">
        <v>4</v>
      </c>
      <c r="U100" s="3"/>
    </row>
    <row r="101" spans="3:21" x14ac:dyDescent="0.35">
      <c r="D101" s="1" t="s">
        <v>5</v>
      </c>
      <c r="E101" s="1" t="s">
        <v>6</v>
      </c>
      <c r="F101" s="1" t="s">
        <v>5</v>
      </c>
      <c r="G101" s="1" t="s">
        <v>6</v>
      </c>
      <c r="H101" s="1" t="s">
        <v>5</v>
      </c>
      <c r="I101" s="1" t="s">
        <v>6</v>
      </c>
      <c r="P101" s="1" t="s">
        <v>5</v>
      </c>
      <c r="Q101" s="1" t="s">
        <v>6</v>
      </c>
      <c r="R101" s="1" t="s">
        <v>5</v>
      </c>
      <c r="S101" s="1" t="s">
        <v>6</v>
      </c>
      <c r="T101" s="1" t="s">
        <v>5</v>
      </c>
      <c r="U101" s="1" t="s">
        <v>6</v>
      </c>
    </row>
    <row r="102" spans="3:21" x14ac:dyDescent="0.35">
      <c r="C102" t="s">
        <v>60</v>
      </c>
      <c r="D102">
        <f>21+45+18+49+45</f>
        <v>178</v>
      </c>
      <c r="E102">
        <f>(178/366)*100</f>
        <v>48.633879781420767</v>
      </c>
      <c r="F102">
        <f>12+40+106+30</f>
        <v>188</v>
      </c>
      <c r="G102">
        <f>(188/366)*100</f>
        <v>51.366120218579233</v>
      </c>
      <c r="H102">
        <f>178+188</f>
        <v>366</v>
      </c>
      <c r="I102">
        <v>100</v>
      </c>
      <c r="O102" t="s">
        <v>60</v>
      </c>
      <c r="P102">
        <v>6</v>
      </c>
      <c r="Q102">
        <f>(6/14)*100</f>
        <v>42.857142857142854</v>
      </c>
      <c r="R102">
        <v>8</v>
      </c>
      <c r="S102">
        <f>(8/14)*100</f>
        <v>57.142857142857139</v>
      </c>
      <c r="T102">
        <v>14</v>
      </c>
      <c r="U102">
        <v>100</v>
      </c>
    </row>
    <row r="103" spans="3:21" x14ac:dyDescent="0.35">
      <c r="C103" t="s">
        <v>61</v>
      </c>
      <c r="D103">
        <f>49+38+14+31</f>
        <v>132</v>
      </c>
      <c r="E103">
        <f>(132/268)*100</f>
        <v>49.253731343283583</v>
      </c>
      <c r="F103">
        <f>31+34+22+49</f>
        <v>136</v>
      </c>
      <c r="G103">
        <f>(136/268)*100</f>
        <v>50.746268656716417</v>
      </c>
      <c r="H103">
        <f>132+136</f>
        <v>268</v>
      </c>
      <c r="I103">
        <v>100</v>
      </c>
      <c r="O103" t="s">
        <v>61</v>
      </c>
      <c r="P103">
        <v>38</v>
      </c>
      <c r="Q103">
        <f>(38/73)*100</f>
        <v>52.054794520547944</v>
      </c>
      <c r="R103">
        <v>35</v>
      </c>
      <c r="S103">
        <f>(35/73)*100</f>
        <v>47.945205479452049</v>
      </c>
      <c r="T103">
        <f>35+38</f>
        <v>73</v>
      </c>
      <c r="U103">
        <v>100</v>
      </c>
    </row>
    <row r="108" spans="3:21" x14ac:dyDescent="0.35">
      <c r="D108" s="3"/>
      <c r="E108" s="3"/>
      <c r="F108" s="3"/>
      <c r="G108" s="3"/>
      <c r="H108" s="3"/>
      <c r="I108" s="3"/>
    </row>
    <row r="109" spans="3:21" x14ac:dyDescent="0.35">
      <c r="D109" s="3"/>
      <c r="E109" s="3"/>
      <c r="F109" s="3"/>
      <c r="G109" s="3"/>
      <c r="H109" s="3"/>
      <c r="I109" s="3"/>
    </row>
    <row r="110" spans="3:21" x14ac:dyDescent="0.35">
      <c r="D110" s="1"/>
      <c r="E110" s="1"/>
      <c r="F110" s="1"/>
      <c r="G110" s="1"/>
      <c r="H110" s="1"/>
      <c r="I110" s="1"/>
    </row>
  </sheetData>
  <mergeCells count="93">
    <mergeCell ref="D2:H2"/>
    <mergeCell ref="H4:I4"/>
    <mergeCell ref="D3:I3"/>
    <mergeCell ref="D12:I12"/>
    <mergeCell ref="D13:E13"/>
    <mergeCell ref="F13:G13"/>
    <mergeCell ref="H13:I13"/>
    <mergeCell ref="F4:G4"/>
    <mergeCell ref="D4:E4"/>
    <mergeCell ref="D21:I21"/>
    <mergeCell ref="D22:E22"/>
    <mergeCell ref="F22:G22"/>
    <mergeCell ref="H22:I22"/>
    <mergeCell ref="P3:U3"/>
    <mergeCell ref="P4:Q4"/>
    <mergeCell ref="R4:S4"/>
    <mergeCell ref="T4:U4"/>
    <mergeCell ref="P12:U12"/>
    <mergeCell ref="P13:Q13"/>
    <mergeCell ref="R13:S13"/>
    <mergeCell ref="T13:U13"/>
    <mergeCell ref="P21:U21"/>
    <mergeCell ref="P22:Q22"/>
    <mergeCell ref="R22:S22"/>
    <mergeCell ref="T22:U22"/>
    <mergeCell ref="D30:I30"/>
    <mergeCell ref="D31:E31"/>
    <mergeCell ref="F31:G31"/>
    <mergeCell ref="H31:I31"/>
    <mergeCell ref="D39:I39"/>
    <mergeCell ref="D40:E40"/>
    <mergeCell ref="F40:G40"/>
    <mergeCell ref="H40:I40"/>
    <mergeCell ref="D48:I48"/>
    <mergeCell ref="D49:E49"/>
    <mergeCell ref="F49:G49"/>
    <mergeCell ref="H49:I49"/>
    <mergeCell ref="D58:I58"/>
    <mergeCell ref="D59:E59"/>
    <mergeCell ref="F59:G59"/>
    <mergeCell ref="H59:I59"/>
    <mergeCell ref="D68:I68"/>
    <mergeCell ref="D69:E69"/>
    <mergeCell ref="F69:G69"/>
    <mergeCell ref="H69:I69"/>
    <mergeCell ref="D78:I78"/>
    <mergeCell ref="D79:E79"/>
    <mergeCell ref="F79:G79"/>
    <mergeCell ref="H79:I79"/>
    <mergeCell ref="D88:I88"/>
    <mergeCell ref="D89:E89"/>
    <mergeCell ref="F89:G89"/>
    <mergeCell ref="H89:I89"/>
    <mergeCell ref="D99:I99"/>
    <mergeCell ref="D100:E100"/>
    <mergeCell ref="F100:G100"/>
    <mergeCell ref="H100:I100"/>
    <mergeCell ref="D108:I108"/>
    <mergeCell ref="D109:E109"/>
    <mergeCell ref="F109:G109"/>
    <mergeCell ref="H109:I109"/>
    <mergeCell ref="P30:U30"/>
    <mergeCell ref="P31:Q31"/>
    <mergeCell ref="R31:S31"/>
    <mergeCell ref="T31:U31"/>
    <mergeCell ref="P39:U39"/>
    <mergeCell ref="P40:Q40"/>
    <mergeCell ref="R40:S40"/>
    <mergeCell ref="T40:U40"/>
    <mergeCell ref="P48:U48"/>
    <mergeCell ref="P49:Q49"/>
    <mergeCell ref="R49:S49"/>
    <mergeCell ref="T49:U49"/>
    <mergeCell ref="P58:U58"/>
    <mergeCell ref="P59:Q59"/>
    <mergeCell ref="R59:S59"/>
    <mergeCell ref="T59:U59"/>
    <mergeCell ref="P68:U68"/>
    <mergeCell ref="P69:Q69"/>
    <mergeCell ref="R69:S69"/>
    <mergeCell ref="T69:U69"/>
    <mergeCell ref="P78:U78"/>
    <mergeCell ref="P79:Q79"/>
    <mergeCell ref="R79:S79"/>
    <mergeCell ref="T79:U79"/>
    <mergeCell ref="P100:Q100"/>
    <mergeCell ref="R100:S100"/>
    <mergeCell ref="T100:U100"/>
    <mergeCell ref="P88:U88"/>
    <mergeCell ref="P89:Q89"/>
    <mergeCell ref="R89:S89"/>
    <mergeCell ref="T89:U89"/>
    <mergeCell ref="P99:U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7E3D-6ECE-4920-8117-E2C10B9224FB}">
  <dimension ref="B3:L40"/>
  <sheetViews>
    <sheetView workbookViewId="0">
      <selection activeCell="C25" sqref="C25"/>
    </sheetView>
  </sheetViews>
  <sheetFormatPr defaultRowHeight="14.5" x14ac:dyDescent="0.35"/>
  <cols>
    <col min="2" max="2" width="13.453125" customWidth="1"/>
    <col min="3" max="3" width="16.54296875" customWidth="1"/>
    <col min="7" max="7" width="9.7265625" customWidth="1"/>
  </cols>
  <sheetData>
    <row r="3" spans="2:12" x14ac:dyDescent="0.35">
      <c r="D3" s="2" t="s">
        <v>12</v>
      </c>
      <c r="H3" s="2" t="s">
        <v>3</v>
      </c>
      <c r="L3" s="2" t="s">
        <v>16</v>
      </c>
    </row>
    <row r="4" spans="2:12" x14ac:dyDescent="0.35">
      <c r="D4" t="s">
        <v>10</v>
      </c>
      <c r="E4" t="s">
        <v>11</v>
      </c>
      <c r="F4">
        <v>2023</v>
      </c>
      <c r="G4" t="s">
        <v>14</v>
      </c>
      <c r="H4" t="s">
        <v>10</v>
      </c>
      <c r="I4" t="s">
        <v>11</v>
      </c>
      <c r="J4">
        <v>2023</v>
      </c>
      <c r="K4" t="s">
        <v>15</v>
      </c>
    </row>
    <row r="5" spans="2:12" x14ac:dyDescent="0.35">
      <c r="B5" s="2" t="s">
        <v>0</v>
      </c>
      <c r="C5" s="2" t="s">
        <v>13</v>
      </c>
    </row>
    <row r="6" spans="2:12" x14ac:dyDescent="0.35">
      <c r="B6">
        <v>10</v>
      </c>
      <c r="C6">
        <v>1</v>
      </c>
      <c r="D6">
        <f>19+5</f>
        <v>24</v>
      </c>
      <c r="E6">
        <f>44+8+2+142+13+4+9</f>
        <v>222</v>
      </c>
      <c r="F6">
        <f>115+33+67+117+3</f>
        <v>335</v>
      </c>
      <c r="G6" s="2">
        <f t="shared" ref="G6:G39" si="0">SUM(D6:F6)</f>
        <v>581</v>
      </c>
      <c r="H6">
        <f>23+3</f>
        <v>26</v>
      </c>
      <c r="I6">
        <f>46+99+37+13</f>
        <v>195</v>
      </c>
      <c r="J6">
        <f>102+7+46+62+6+126+5</f>
        <v>354</v>
      </c>
      <c r="K6" s="2">
        <f t="shared" ref="K6:K39" si="1">SUM(H6:J6)</f>
        <v>575</v>
      </c>
      <c r="L6">
        <f t="shared" ref="L6:L40" si="2">K6+G6</f>
        <v>1156</v>
      </c>
    </row>
    <row r="7" spans="2:12" x14ac:dyDescent="0.35">
      <c r="B7">
        <v>10</v>
      </c>
      <c r="C7">
        <v>2</v>
      </c>
      <c r="D7">
        <f>20+17+30</f>
        <v>67</v>
      </c>
      <c r="E7">
        <f>13+34+61</f>
        <v>108</v>
      </c>
      <c r="F7">
        <f>27+23+61+8</f>
        <v>119</v>
      </c>
      <c r="G7" s="2">
        <f t="shared" si="0"/>
        <v>294</v>
      </c>
      <c r="H7">
        <f>10+29+29</f>
        <v>68</v>
      </c>
      <c r="I7">
        <f>8+89+11</f>
        <v>108</v>
      </c>
      <c r="J7">
        <f>9+29+63</f>
        <v>101</v>
      </c>
      <c r="K7" s="2">
        <f t="shared" si="1"/>
        <v>277</v>
      </c>
      <c r="L7">
        <f t="shared" si="2"/>
        <v>571</v>
      </c>
    </row>
    <row r="8" spans="2:12" x14ac:dyDescent="0.35">
      <c r="B8">
        <v>10</v>
      </c>
      <c r="C8">
        <v>5</v>
      </c>
      <c r="D8" t="s">
        <v>17</v>
      </c>
      <c r="E8" t="s">
        <v>17</v>
      </c>
      <c r="F8">
        <v>86</v>
      </c>
      <c r="G8" s="2">
        <f t="shared" si="0"/>
        <v>86</v>
      </c>
      <c r="H8" t="s">
        <v>17</v>
      </c>
      <c r="I8" t="s">
        <v>17</v>
      </c>
      <c r="J8">
        <v>77</v>
      </c>
      <c r="K8" s="2">
        <f t="shared" si="1"/>
        <v>77</v>
      </c>
      <c r="L8">
        <f t="shared" si="2"/>
        <v>163</v>
      </c>
    </row>
    <row r="9" spans="2:12" x14ac:dyDescent="0.35">
      <c r="B9">
        <v>12</v>
      </c>
      <c r="C9">
        <v>66</v>
      </c>
      <c r="D9">
        <v>20</v>
      </c>
      <c r="E9">
        <f>12+81+82</f>
        <v>175</v>
      </c>
      <c r="F9">
        <f>12+66+112</f>
        <v>190</v>
      </c>
      <c r="G9" s="2">
        <f t="shared" si="0"/>
        <v>385</v>
      </c>
      <c r="H9">
        <v>11</v>
      </c>
      <c r="I9">
        <f>18+88+71</f>
        <v>177</v>
      </c>
      <c r="J9">
        <f>18+73+105</f>
        <v>196</v>
      </c>
      <c r="K9" s="2">
        <f t="shared" si="1"/>
        <v>384</v>
      </c>
      <c r="L9">
        <f t="shared" si="2"/>
        <v>769</v>
      </c>
    </row>
    <row r="10" spans="2:12" x14ac:dyDescent="0.35">
      <c r="B10">
        <v>12</v>
      </c>
      <c r="C10">
        <v>67</v>
      </c>
      <c r="D10" t="s">
        <v>17</v>
      </c>
      <c r="E10">
        <v>24</v>
      </c>
      <c r="F10">
        <v>26</v>
      </c>
      <c r="G10" s="2">
        <f t="shared" si="0"/>
        <v>50</v>
      </c>
      <c r="H10" t="s">
        <v>17</v>
      </c>
      <c r="I10">
        <v>30</v>
      </c>
      <c r="J10">
        <v>32</v>
      </c>
      <c r="K10" s="2">
        <f t="shared" si="1"/>
        <v>62</v>
      </c>
      <c r="L10">
        <f t="shared" si="2"/>
        <v>112</v>
      </c>
    </row>
    <row r="11" spans="2:12" x14ac:dyDescent="0.35">
      <c r="B11">
        <v>12</v>
      </c>
      <c r="C11">
        <v>68</v>
      </c>
      <c r="D11">
        <v>4</v>
      </c>
      <c r="E11">
        <f>18+86+33</f>
        <v>137</v>
      </c>
      <c r="F11">
        <f>86+110+71</f>
        <v>267</v>
      </c>
      <c r="G11" s="2">
        <f t="shared" si="0"/>
        <v>408</v>
      </c>
      <c r="H11" t="s">
        <v>17</v>
      </c>
      <c r="I11">
        <f>27+79+24</f>
        <v>130</v>
      </c>
      <c r="J11">
        <f>83+42+48+62</f>
        <v>235</v>
      </c>
      <c r="K11" s="2">
        <f t="shared" si="1"/>
        <v>365</v>
      </c>
      <c r="L11">
        <f t="shared" si="2"/>
        <v>773</v>
      </c>
    </row>
    <row r="12" spans="2:12" x14ac:dyDescent="0.35">
      <c r="B12">
        <v>12</v>
      </c>
      <c r="C12">
        <v>69</v>
      </c>
      <c r="D12">
        <f>2+7+1+161</f>
        <v>171</v>
      </c>
      <c r="E12">
        <f>4+7+3+172</f>
        <v>186</v>
      </c>
      <c r="F12">
        <f>30+9+185</f>
        <v>224</v>
      </c>
      <c r="G12" s="2">
        <f t="shared" si="0"/>
        <v>581</v>
      </c>
      <c r="H12">
        <v>203</v>
      </c>
      <c r="I12">
        <v>234</v>
      </c>
      <c r="J12">
        <v>264</v>
      </c>
      <c r="K12" s="2">
        <f t="shared" si="1"/>
        <v>701</v>
      </c>
      <c r="L12">
        <f t="shared" si="2"/>
        <v>1282</v>
      </c>
    </row>
    <row r="13" spans="2:12" x14ac:dyDescent="0.35">
      <c r="B13">
        <v>13</v>
      </c>
      <c r="C13">
        <v>70</v>
      </c>
      <c r="D13" t="s">
        <v>17</v>
      </c>
      <c r="E13">
        <v>23</v>
      </c>
      <c r="F13">
        <f>25+23</f>
        <v>48</v>
      </c>
      <c r="G13" s="2">
        <f t="shared" si="0"/>
        <v>71</v>
      </c>
      <c r="H13" t="s">
        <v>17</v>
      </c>
      <c r="I13">
        <v>13</v>
      </c>
      <c r="J13">
        <v>51</v>
      </c>
      <c r="K13" s="2">
        <f t="shared" si="1"/>
        <v>64</v>
      </c>
      <c r="L13">
        <f t="shared" si="2"/>
        <v>135</v>
      </c>
    </row>
    <row r="14" spans="2:12" x14ac:dyDescent="0.35">
      <c r="B14">
        <v>13</v>
      </c>
      <c r="C14">
        <v>71</v>
      </c>
      <c r="D14" t="s">
        <v>17</v>
      </c>
      <c r="E14">
        <f>30+22+8+3</f>
        <v>63</v>
      </c>
      <c r="F14">
        <f>21+16+34+19</f>
        <v>90</v>
      </c>
      <c r="G14" s="2">
        <f t="shared" si="0"/>
        <v>153</v>
      </c>
      <c r="H14" t="s">
        <v>17</v>
      </c>
      <c r="I14">
        <v>46</v>
      </c>
      <c r="J14">
        <f>19+57</f>
        <v>76</v>
      </c>
      <c r="K14" s="2">
        <f t="shared" si="1"/>
        <v>122</v>
      </c>
      <c r="L14">
        <f t="shared" si="2"/>
        <v>275</v>
      </c>
    </row>
    <row r="15" spans="2:12" x14ac:dyDescent="0.35">
      <c r="B15">
        <v>13</v>
      </c>
      <c r="C15">
        <v>72</v>
      </c>
      <c r="D15">
        <v>3</v>
      </c>
      <c r="E15">
        <v>23</v>
      </c>
      <c r="F15">
        <f>2+27+20</f>
        <v>49</v>
      </c>
      <c r="G15" s="2">
        <f t="shared" si="0"/>
        <v>75</v>
      </c>
      <c r="H15">
        <v>1</v>
      </c>
      <c r="I15">
        <v>18</v>
      </c>
      <c r="J15">
        <f>39+17</f>
        <v>56</v>
      </c>
      <c r="K15" s="2">
        <f t="shared" si="1"/>
        <v>75</v>
      </c>
      <c r="L15">
        <f t="shared" si="2"/>
        <v>150</v>
      </c>
    </row>
    <row r="16" spans="2:12" x14ac:dyDescent="0.35">
      <c r="B16">
        <v>13</v>
      </c>
      <c r="C16">
        <v>73</v>
      </c>
      <c r="D16" t="s">
        <v>17</v>
      </c>
      <c r="E16">
        <f>29+19+30</f>
        <v>78</v>
      </c>
      <c r="F16">
        <f>65+73+53+109+70</f>
        <v>370</v>
      </c>
      <c r="G16" s="2">
        <f t="shared" si="0"/>
        <v>448</v>
      </c>
      <c r="H16" t="s">
        <v>17</v>
      </c>
      <c r="I16">
        <f>13+14+33</f>
        <v>60</v>
      </c>
      <c r="J16">
        <f>44+48+53+56+68</f>
        <v>269</v>
      </c>
      <c r="K16" s="2">
        <f t="shared" si="1"/>
        <v>329</v>
      </c>
      <c r="L16">
        <f t="shared" si="2"/>
        <v>777</v>
      </c>
    </row>
    <row r="17" spans="2:12" x14ac:dyDescent="0.35">
      <c r="B17">
        <v>2</v>
      </c>
      <c r="C17">
        <v>25</v>
      </c>
      <c r="D17">
        <f>2+6+8</f>
        <v>16</v>
      </c>
      <c r="E17">
        <f>33+3+13+12</f>
        <v>61</v>
      </c>
      <c r="F17">
        <f>36+9+17</f>
        <v>62</v>
      </c>
      <c r="G17" s="2">
        <f t="shared" si="0"/>
        <v>139</v>
      </c>
      <c r="H17">
        <v>9</v>
      </c>
      <c r="I17">
        <f>49+6</f>
        <v>55</v>
      </c>
      <c r="J17">
        <f>31+10+12</f>
        <v>53</v>
      </c>
      <c r="K17" s="2">
        <f t="shared" si="1"/>
        <v>117</v>
      </c>
      <c r="L17">
        <f t="shared" si="2"/>
        <v>256</v>
      </c>
    </row>
    <row r="18" spans="2:12" x14ac:dyDescent="0.35">
      <c r="B18">
        <v>2</v>
      </c>
      <c r="C18">
        <v>26</v>
      </c>
      <c r="D18">
        <v>70</v>
      </c>
      <c r="E18">
        <f>15+27+5</f>
        <v>47</v>
      </c>
      <c r="F18">
        <f>35+18+8</f>
        <v>61</v>
      </c>
      <c r="G18" s="2">
        <f t="shared" si="0"/>
        <v>178</v>
      </c>
      <c r="H18">
        <v>81</v>
      </c>
      <c r="I18">
        <f>18+38+4</f>
        <v>60</v>
      </c>
      <c r="J18">
        <f>25+17+6</f>
        <v>48</v>
      </c>
      <c r="K18" s="2">
        <f t="shared" si="1"/>
        <v>189</v>
      </c>
      <c r="L18">
        <f t="shared" si="2"/>
        <v>367</v>
      </c>
    </row>
    <row r="19" spans="2:12" x14ac:dyDescent="0.35">
      <c r="B19">
        <v>2</v>
      </c>
      <c r="C19">
        <v>29</v>
      </c>
      <c r="D19">
        <v>55</v>
      </c>
      <c r="E19">
        <v>73</v>
      </c>
      <c r="F19">
        <v>55</v>
      </c>
      <c r="G19" s="2">
        <f t="shared" si="0"/>
        <v>183</v>
      </c>
      <c r="H19">
        <f>12+26+13</f>
        <v>51</v>
      </c>
      <c r="I19">
        <f>35+10+23+20</f>
        <v>88</v>
      </c>
      <c r="J19">
        <f>20+24+102</f>
        <v>146</v>
      </c>
      <c r="K19" s="2">
        <f t="shared" si="1"/>
        <v>285</v>
      </c>
      <c r="L19">
        <f t="shared" si="2"/>
        <v>468</v>
      </c>
    </row>
    <row r="20" spans="2:12" x14ac:dyDescent="0.35">
      <c r="B20">
        <v>3</v>
      </c>
      <c r="C20">
        <v>40</v>
      </c>
      <c r="D20" t="s">
        <v>17</v>
      </c>
      <c r="E20">
        <v>67</v>
      </c>
      <c r="F20">
        <v>24</v>
      </c>
      <c r="G20" s="2">
        <f t="shared" si="0"/>
        <v>91</v>
      </c>
      <c r="H20" t="s">
        <v>17</v>
      </c>
      <c r="I20">
        <v>44</v>
      </c>
      <c r="J20">
        <v>51</v>
      </c>
      <c r="K20" s="2">
        <f t="shared" si="1"/>
        <v>95</v>
      </c>
      <c r="L20">
        <f t="shared" si="2"/>
        <v>186</v>
      </c>
    </row>
    <row r="21" spans="2:12" x14ac:dyDescent="0.35">
      <c r="B21" s="2">
        <v>3</v>
      </c>
      <c r="C21">
        <v>45</v>
      </c>
      <c r="D21">
        <f>53+5+15</f>
        <v>73</v>
      </c>
      <c r="E21">
        <f>30+5+15+6+18+12+2+10</f>
        <v>98</v>
      </c>
      <c r="F21">
        <f>47+17+24+10</f>
        <v>98</v>
      </c>
      <c r="G21" s="2">
        <f t="shared" si="0"/>
        <v>269</v>
      </c>
      <c r="H21">
        <v>55</v>
      </c>
      <c r="I21">
        <f>48+34</f>
        <v>82</v>
      </c>
      <c r="J21">
        <f>45+17+26</f>
        <v>88</v>
      </c>
      <c r="K21" s="2">
        <f t="shared" si="1"/>
        <v>225</v>
      </c>
      <c r="L21">
        <f t="shared" si="2"/>
        <v>494</v>
      </c>
    </row>
    <row r="22" spans="2:12" x14ac:dyDescent="0.35">
      <c r="B22">
        <v>4</v>
      </c>
      <c r="C22">
        <v>46</v>
      </c>
      <c r="D22">
        <f>8+25+14</f>
        <v>47</v>
      </c>
      <c r="E22">
        <f>6+20+15</f>
        <v>41</v>
      </c>
      <c r="F22">
        <f>44</f>
        <v>44</v>
      </c>
      <c r="G22" s="2">
        <f t="shared" si="0"/>
        <v>132</v>
      </c>
      <c r="H22">
        <v>45</v>
      </c>
      <c r="I22">
        <v>37</v>
      </c>
      <c r="J22">
        <v>44</v>
      </c>
      <c r="K22" s="2">
        <f t="shared" si="1"/>
        <v>126</v>
      </c>
      <c r="L22">
        <f t="shared" si="2"/>
        <v>258</v>
      </c>
    </row>
    <row r="23" spans="2:12" x14ac:dyDescent="0.35">
      <c r="B23">
        <v>4</v>
      </c>
      <c r="C23">
        <v>47</v>
      </c>
      <c r="D23">
        <f>5+2+10+20+2+10</f>
        <v>49</v>
      </c>
      <c r="E23">
        <f>4+2+11+6+3+4+9</f>
        <v>39</v>
      </c>
      <c r="F23">
        <f>49+9+46+41+25</f>
        <v>170</v>
      </c>
      <c r="G23" s="2">
        <f t="shared" si="0"/>
        <v>258</v>
      </c>
      <c r="H23">
        <v>36</v>
      </c>
      <c r="I23">
        <v>17</v>
      </c>
      <c r="J23">
        <f>21+18+24+30+20</f>
        <v>113</v>
      </c>
      <c r="K23" s="2">
        <f t="shared" si="1"/>
        <v>166</v>
      </c>
      <c r="L23">
        <f t="shared" si="2"/>
        <v>424</v>
      </c>
    </row>
    <row r="24" spans="2:12" x14ac:dyDescent="0.35">
      <c r="B24">
        <v>5</v>
      </c>
      <c r="C24">
        <v>49</v>
      </c>
      <c r="D24">
        <f>23+35+14+11</f>
        <v>83</v>
      </c>
      <c r="E24">
        <f>34+40+38+8</f>
        <v>120</v>
      </c>
      <c r="F24">
        <f>62+59+17</f>
        <v>138</v>
      </c>
      <c r="G24" s="2">
        <f t="shared" si="0"/>
        <v>341</v>
      </c>
      <c r="H24">
        <f>35+83+26+28</f>
        <v>172</v>
      </c>
      <c r="I24">
        <f>43+70+71+10</f>
        <v>194</v>
      </c>
      <c r="J24">
        <f>43+64+59+7+12</f>
        <v>185</v>
      </c>
      <c r="K24" s="2">
        <f t="shared" si="1"/>
        <v>551</v>
      </c>
      <c r="L24">
        <f t="shared" si="2"/>
        <v>892</v>
      </c>
    </row>
    <row r="25" spans="2:12" x14ac:dyDescent="0.35">
      <c r="B25">
        <v>5</v>
      </c>
      <c r="C25">
        <v>51</v>
      </c>
      <c r="D25">
        <f>40+25+100+17+51</f>
        <v>233</v>
      </c>
      <c r="E25">
        <f>57+15+77+23+61</f>
        <v>233</v>
      </c>
      <c r="F25">
        <f>60+70+87</f>
        <v>217</v>
      </c>
      <c r="G25" s="2">
        <f t="shared" si="0"/>
        <v>683</v>
      </c>
      <c r="H25">
        <f>30+18+63+12+26</f>
        <v>149</v>
      </c>
      <c r="I25">
        <f>46+74+16+21</f>
        <v>157</v>
      </c>
      <c r="J25">
        <f>68+50+23</f>
        <v>141</v>
      </c>
      <c r="K25" s="2">
        <f t="shared" si="1"/>
        <v>447</v>
      </c>
      <c r="L25">
        <f t="shared" si="2"/>
        <v>1130</v>
      </c>
    </row>
    <row r="26" spans="2:12" x14ac:dyDescent="0.35">
      <c r="B26">
        <v>5</v>
      </c>
      <c r="C26">
        <v>53</v>
      </c>
      <c r="D26">
        <f>43+36+78+114+47</f>
        <v>318</v>
      </c>
      <c r="E26">
        <f>23+67+93+93+79</f>
        <v>355</v>
      </c>
      <c r="F26">
        <f>68+87+97+44</f>
        <v>296</v>
      </c>
      <c r="G26" s="2">
        <f t="shared" si="0"/>
        <v>969</v>
      </c>
      <c r="H26">
        <f>68+59+133+45</f>
        <v>305</v>
      </c>
      <c r="I26">
        <f>17+54+61+44+61</f>
        <v>237</v>
      </c>
      <c r="J26">
        <f>40+66+59+43</f>
        <v>208</v>
      </c>
      <c r="K26" s="2">
        <f t="shared" si="1"/>
        <v>750</v>
      </c>
      <c r="L26">
        <f t="shared" si="2"/>
        <v>1719</v>
      </c>
    </row>
    <row r="27" spans="2:12" x14ac:dyDescent="0.35">
      <c r="B27">
        <v>5</v>
      </c>
      <c r="C27">
        <v>54</v>
      </c>
      <c r="D27">
        <v>48</v>
      </c>
      <c r="E27">
        <v>68</v>
      </c>
      <c r="F27">
        <f>96</f>
        <v>96</v>
      </c>
      <c r="G27" s="2">
        <f t="shared" si="0"/>
        <v>212</v>
      </c>
      <c r="H27">
        <v>24</v>
      </c>
      <c r="I27">
        <v>44</v>
      </c>
      <c r="J27">
        <v>50</v>
      </c>
      <c r="K27" s="2">
        <f t="shared" si="1"/>
        <v>118</v>
      </c>
      <c r="L27">
        <f t="shared" si="2"/>
        <v>330</v>
      </c>
    </row>
    <row r="28" spans="2:12" x14ac:dyDescent="0.35">
      <c r="B28">
        <v>6</v>
      </c>
      <c r="C28">
        <v>55</v>
      </c>
      <c r="D28">
        <f>450+20+50</f>
        <v>520</v>
      </c>
      <c r="E28">
        <f>17+15</f>
        <v>32</v>
      </c>
      <c r="F28">
        <f>110+44+50</f>
        <v>204</v>
      </c>
      <c r="G28" s="2">
        <f t="shared" si="0"/>
        <v>756</v>
      </c>
      <c r="H28">
        <f>177+62</f>
        <v>239</v>
      </c>
      <c r="I28">
        <f>29</f>
        <v>29</v>
      </c>
      <c r="J28">
        <f>130+44+58</f>
        <v>232</v>
      </c>
      <c r="K28" s="2">
        <f t="shared" si="1"/>
        <v>500</v>
      </c>
      <c r="L28">
        <f t="shared" si="2"/>
        <v>1256</v>
      </c>
    </row>
    <row r="29" spans="2:12" x14ac:dyDescent="0.35">
      <c r="B29">
        <v>6</v>
      </c>
      <c r="C29">
        <v>56</v>
      </c>
      <c r="D29">
        <f>130+200+230+175+400</f>
        <v>1135</v>
      </c>
      <c r="E29">
        <f>150+430+630</f>
        <v>1210</v>
      </c>
      <c r="F29">
        <f>134+46+191+271+375+728</f>
        <v>1745</v>
      </c>
      <c r="G29" s="2">
        <f t="shared" si="0"/>
        <v>4090</v>
      </c>
      <c r="H29">
        <f>340+150+300</f>
        <v>790</v>
      </c>
      <c r="I29">
        <f>470+150+250</f>
        <v>870</v>
      </c>
      <c r="J29">
        <f>445+98+217+402</f>
        <v>1162</v>
      </c>
      <c r="K29" s="2">
        <f t="shared" si="1"/>
        <v>2822</v>
      </c>
      <c r="L29">
        <f t="shared" si="2"/>
        <v>6912</v>
      </c>
    </row>
    <row r="30" spans="2:12" x14ac:dyDescent="0.35">
      <c r="B30">
        <v>6</v>
      </c>
      <c r="C30">
        <v>60</v>
      </c>
      <c r="D30">
        <v>25</v>
      </c>
      <c r="E30">
        <v>30</v>
      </c>
      <c r="F30">
        <f>25+7</f>
        <v>32</v>
      </c>
      <c r="G30" s="2">
        <f t="shared" si="0"/>
        <v>87</v>
      </c>
      <c r="H30">
        <f>30</f>
        <v>30</v>
      </c>
      <c r="I30">
        <f>38</f>
        <v>38</v>
      </c>
      <c r="J30">
        <v>30</v>
      </c>
      <c r="K30" s="2">
        <f t="shared" si="1"/>
        <v>98</v>
      </c>
      <c r="L30">
        <f t="shared" si="2"/>
        <v>185</v>
      </c>
    </row>
    <row r="31" spans="2:12" x14ac:dyDescent="0.35">
      <c r="B31">
        <v>7</v>
      </c>
      <c r="C31">
        <v>63</v>
      </c>
      <c r="D31">
        <f>36+5</f>
        <v>41</v>
      </c>
      <c r="E31">
        <f>36+6</f>
        <v>42</v>
      </c>
      <c r="F31">
        <f>48</f>
        <v>48</v>
      </c>
      <c r="G31" s="2">
        <f t="shared" si="0"/>
        <v>131</v>
      </c>
      <c r="H31">
        <v>50</v>
      </c>
      <c r="I31">
        <v>53</v>
      </c>
      <c r="J31">
        <v>56</v>
      </c>
      <c r="K31" s="2">
        <f t="shared" si="1"/>
        <v>159</v>
      </c>
      <c r="L31">
        <f t="shared" si="2"/>
        <v>290</v>
      </c>
    </row>
    <row r="32" spans="2:12" x14ac:dyDescent="0.35">
      <c r="B32">
        <v>7</v>
      </c>
      <c r="C32">
        <v>64</v>
      </c>
      <c r="D32">
        <v>20</v>
      </c>
      <c r="E32">
        <v>5</v>
      </c>
      <c r="F32">
        <f>39</f>
        <v>39</v>
      </c>
      <c r="G32" s="2">
        <f t="shared" si="0"/>
        <v>64</v>
      </c>
      <c r="H32">
        <v>12</v>
      </c>
      <c r="I32">
        <v>4</v>
      </c>
      <c r="J32">
        <v>15</v>
      </c>
      <c r="K32" s="2">
        <f t="shared" si="1"/>
        <v>31</v>
      </c>
      <c r="L32">
        <f t="shared" si="2"/>
        <v>95</v>
      </c>
    </row>
    <row r="33" spans="2:12" x14ac:dyDescent="0.35">
      <c r="B33">
        <v>7</v>
      </c>
      <c r="C33">
        <v>65</v>
      </c>
      <c r="D33">
        <f>88+16</f>
        <v>104</v>
      </c>
      <c r="E33">
        <f>58+13</f>
        <v>71</v>
      </c>
      <c r="F33">
        <f>12+44+16</f>
        <v>72</v>
      </c>
      <c r="G33" s="2">
        <f t="shared" si="0"/>
        <v>247</v>
      </c>
      <c r="H33">
        <f>18+34+16</f>
        <v>68</v>
      </c>
      <c r="I33">
        <f>15+34+18</f>
        <v>67</v>
      </c>
      <c r="J33">
        <f>11+34+14</f>
        <v>59</v>
      </c>
      <c r="K33" s="2">
        <f t="shared" si="1"/>
        <v>194</v>
      </c>
      <c r="L33">
        <f t="shared" si="2"/>
        <v>441</v>
      </c>
    </row>
    <row r="34" spans="2:12" x14ac:dyDescent="0.35">
      <c r="B34">
        <v>8</v>
      </c>
      <c r="C34">
        <v>17</v>
      </c>
      <c r="D34">
        <f>73+107+40+17</f>
        <v>237</v>
      </c>
      <c r="E34">
        <f>40+77+220+48+29</f>
        <v>414</v>
      </c>
      <c r="F34">
        <f>52+60+29+158+17+38+12</f>
        <v>366</v>
      </c>
      <c r="G34" s="2">
        <f t="shared" si="0"/>
        <v>1017</v>
      </c>
      <c r="H34">
        <f>80+39+35+15+17+5</f>
        <v>191</v>
      </c>
      <c r="I34">
        <f>17+107+20+10+146+26+41+9</f>
        <v>376</v>
      </c>
      <c r="J34">
        <f>14+52+52+194+8+16+5</f>
        <v>341</v>
      </c>
      <c r="K34" s="2">
        <f t="shared" si="1"/>
        <v>908</v>
      </c>
      <c r="L34">
        <f t="shared" si="2"/>
        <v>1925</v>
      </c>
    </row>
    <row r="35" spans="2:12" x14ac:dyDescent="0.35">
      <c r="B35">
        <v>8</v>
      </c>
      <c r="C35">
        <v>19</v>
      </c>
      <c r="D35">
        <f>13+69+52+27+63+39+46+83+162+30</f>
        <v>584</v>
      </c>
      <c r="E35">
        <f>25+58+64+28+30+78+29+89+63+55</f>
        <v>519</v>
      </c>
      <c r="F35">
        <f>55+49+22+96+55+25+133+91+30+28+63+85+30</f>
        <v>762</v>
      </c>
      <c r="G35" s="2">
        <f t="shared" si="0"/>
        <v>1865</v>
      </c>
      <c r="H35">
        <f>17+46+36+19+75+18+16+26+44+52+20</f>
        <v>369</v>
      </c>
      <c r="I35">
        <f>21+32+42+14+3+76+35+21+73+31+20</f>
        <v>368</v>
      </c>
      <c r="J35">
        <f>43+27+19+42+51+67+76+17+16+45+47+25</f>
        <v>475</v>
      </c>
      <c r="K35" s="2">
        <f t="shared" si="1"/>
        <v>1212</v>
      </c>
      <c r="L35">
        <f t="shared" si="2"/>
        <v>3077</v>
      </c>
    </row>
    <row r="36" spans="2:12" x14ac:dyDescent="0.35">
      <c r="B36">
        <v>8</v>
      </c>
      <c r="C36">
        <v>20</v>
      </c>
      <c r="D36">
        <f>68+35+45</f>
        <v>148</v>
      </c>
      <c r="E36">
        <f>66+32+9+3</f>
        <v>110</v>
      </c>
      <c r="F36">
        <f>58+63+43+40+17</f>
        <v>221</v>
      </c>
      <c r="G36" s="2">
        <f t="shared" si="0"/>
        <v>479</v>
      </c>
      <c r="H36">
        <f>80</f>
        <v>80</v>
      </c>
      <c r="I36">
        <f>56+20+11</f>
        <v>87</v>
      </c>
      <c r="J36">
        <f>31+53+67+26</f>
        <v>177</v>
      </c>
      <c r="K36" s="2">
        <f t="shared" si="1"/>
        <v>344</v>
      </c>
      <c r="L36">
        <f t="shared" si="2"/>
        <v>823</v>
      </c>
    </row>
    <row r="37" spans="2:12" x14ac:dyDescent="0.35">
      <c r="B37">
        <v>8</v>
      </c>
      <c r="C37">
        <v>24</v>
      </c>
      <c r="D37">
        <v>42</v>
      </c>
      <c r="E37">
        <v>71</v>
      </c>
      <c r="F37">
        <f>30</f>
        <v>30</v>
      </c>
      <c r="G37" s="2">
        <f t="shared" si="0"/>
        <v>143</v>
      </c>
      <c r="H37">
        <v>23</v>
      </c>
      <c r="I37">
        <v>34</v>
      </c>
      <c r="J37">
        <v>16</v>
      </c>
      <c r="K37" s="2">
        <f t="shared" si="1"/>
        <v>73</v>
      </c>
      <c r="L37">
        <f t="shared" si="2"/>
        <v>216</v>
      </c>
    </row>
    <row r="38" spans="2:12" x14ac:dyDescent="0.35">
      <c r="B38">
        <v>9</v>
      </c>
      <c r="C38">
        <v>14</v>
      </c>
      <c r="D38">
        <v>5</v>
      </c>
      <c r="E38">
        <f>15+25+18</f>
        <v>58</v>
      </c>
      <c r="F38">
        <f>31+75+96+19</f>
        <v>221</v>
      </c>
      <c r="G38" s="2">
        <f t="shared" si="0"/>
        <v>284</v>
      </c>
      <c r="H38">
        <v>5</v>
      </c>
      <c r="I38">
        <v>44</v>
      </c>
      <c r="J38">
        <f>87+49+19</f>
        <v>155</v>
      </c>
      <c r="K38" s="2">
        <f t="shared" si="1"/>
        <v>204</v>
      </c>
      <c r="L38">
        <f t="shared" si="2"/>
        <v>488</v>
      </c>
    </row>
    <row r="39" spans="2:12" x14ac:dyDescent="0.35">
      <c r="B39">
        <v>9</v>
      </c>
      <c r="C39">
        <v>16</v>
      </c>
      <c r="D39" t="s">
        <v>17</v>
      </c>
      <c r="E39">
        <f>21+13+27+20</f>
        <v>81</v>
      </c>
      <c r="F39">
        <f>34+24+25</f>
        <v>83</v>
      </c>
      <c r="G39" s="2">
        <f t="shared" si="0"/>
        <v>164</v>
      </c>
      <c r="H39" t="s">
        <v>17</v>
      </c>
      <c r="I39">
        <f>55+40</f>
        <v>95</v>
      </c>
      <c r="J39">
        <f>89</f>
        <v>89</v>
      </c>
      <c r="K39" s="2">
        <f t="shared" si="1"/>
        <v>184</v>
      </c>
      <c r="L39">
        <f t="shared" si="2"/>
        <v>348</v>
      </c>
    </row>
    <row r="40" spans="2:12" x14ac:dyDescent="0.35">
      <c r="C40" s="2" t="s">
        <v>16</v>
      </c>
      <c r="D40" s="2">
        <f t="shared" ref="D40:F40" si="3">SUM(D6:D39)</f>
        <v>4142</v>
      </c>
      <c r="E40" s="2">
        <f t="shared" si="3"/>
        <v>4884</v>
      </c>
      <c r="F40" s="2">
        <f t="shared" si="3"/>
        <v>6888</v>
      </c>
      <c r="G40" s="2">
        <f>SUM(G6:G39)</f>
        <v>15914</v>
      </c>
      <c r="H40" s="2">
        <f t="shared" ref="H40:J40" si="4">SUM(H6:H39)</f>
        <v>3093</v>
      </c>
      <c r="I40" s="2">
        <f t="shared" si="4"/>
        <v>4091</v>
      </c>
      <c r="J40" s="2">
        <f t="shared" si="4"/>
        <v>5645</v>
      </c>
      <c r="K40" s="2">
        <f>SUM(K6:K39)</f>
        <v>12829</v>
      </c>
      <c r="L40" s="2">
        <f t="shared" si="2"/>
        <v>28743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5ED1-0587-494E-B976-7176D0458F35}">
  <dimension ref="B3:AC8"/>
  <sheetViews>
    <sheetView topLeftCell="L1" workbookViewId="0">
      <selection activeCell="X3" sqref="X3:AA3"/>
    </sheetView>
  </sheetViews>
  <sheetFormatPr defaultRowHeight="14.5" x14ac:dyDescent="0.35"/>
  <cols>
    <col min="1" max="1" width="0.90625" customWidth="1"/>
    <col min="2" max="2" width="14.54296875" customWidth="1"/>
    <col min="5" max="5" width="11.54296875" customWidth="1"/>
    <col min="12" max="12" width="15.1796875" customWidth="1"/>
    <col min="13" max="13" width="8.08984375" customWidth="1"/>
    <col min="14" max="14" width="7.36328125" customWidth="1"/>
    <col min="15" max="15" width="8.08984375" customWidth="1"/>
    <col min="16" max="20" width="7.453125" customWidth="1"/>
  </cols>
  <sheetData>
    <row r="3" spans="2:29" x14ac:dyDescent="0.35">
      <c r="B3" t="s">
        <v>62</v>
      </c>
      <c r="C3" s="3" t="s">
        <v>67</v>
      </c>
      <c r="D3" s="3"/>
      <c r="E3" s="3"/>
      <c r="F3" s="3"/>
      <c r="G3" s="3" t="s">
        <v>4</v>
      </c>
      <c r="H3" s="3"/>
      <c r="L3" t="s">
        <v>62</v>
      </c>
      <c r="M3" s="3" t="s">
        <v>70</v>
      </c>
      <c r="N3" s="3"/>
      <c r="O3" s="3"/>
      <c r="P3" s="3"/>
      <c r="Q3" s="3" t="s">
        <v>4</v>
      </c>
      <c r="R3" s="3"/>
      <c r="S3" s="1"/>
      <c r="T3" s="1"/>
      <c r="W3" t="s">
        <v>62</v>
      </c>
      <c r="X3" s="3" t="s">
        <v>73</v>
      </c>
      <c r="Y3" s="3"/>
      <c r="Z3" s="3"/>
      <c r="AA3" s="3"/>
      <c r="AB3" s="3" t="s">
        <v>4</v>
      </c>
      <c r="AC3" s="3"/>
    </row>
    <row r="4" spans="2:29" x14ac:dyDescent="0.35">
      <c r="C4" s="3" t="s">
        <v>65</v>
      </c>
      <c r="D4" s="3"/>
      <c r="E4" s="3" t="s">
        <v>66</v>
      </c>
      <c r="F4" s="3"/>
      <c r="G4" s="1" t="s">
        <v>68</v>
      </c>
      <c r="H4" s="1" t="s">
        <v>69</v>
      </c>
      <c r="M4" s="3" t="s">
        <v>68</v>
      </c>
      <c r="N4" s="3"/>
      <c r="O4" s="3" t="s">
        <v>69</v>
      </c>
      <c r="P4" s="3"/>
      <c r="Q4" s="1" t="s">
        <v>68</v>
      </c>
      <c r="R4" s="1" t="s">
        <v>69</v>
      </c>
      <c r="S4" s="1"/>
      <c r="T4" s="1"/>
      <c r="X4" s="3" t="s">
        <v>68</v>
      </c>
      <c r="Y4" s="3"/>
      <c r="Z4" s="3" t="s">
        <v>69</v>
      </c>
      <c r="AA4" s="3"/>
      <c r="AB4" s="1" t="s">
        <v>68</v>
      </c>
      <c r="AC4" s="1" t="s">
        <v>69</v>
      </c>
    </row>
    <row r="5" spans="2:29" x14ac:dyDescent="0.35">
      <c r="C5" t="s">
        <v>5</v>
      </c>
      <c r="D5" t="s">
        <v>6</v>
      </c>
      <c r="E5" t="s">
        <v>5</v>
      </c>
      <c r="F5" t="s">
        <v>6</v>
      </c>
      <c r="G5" t="s">
        <v>5</v>
      </c>
      <c r="H5" t="s">
        <v>6</v>
      </c>
      <c r="M5" t="s">
        <v>5</v>
      </c>
      <c r="N5" t="s">
        <v>6</v>
      </c>
      <c r="O5" t="s">
        <v>5</v>
      </c>
      <c r="P5" t="s">
        <v>6</v>
      </c>
      <c r="Q5" t="s">
        <v>5</v>
      </c>
      <c r="R5" t="s">
        <v>6</v>
      </c>
      <c r="X5" t="s">
        <v>5</v>
      </c>
      <c r="Y5" t="s">
        <v>6</v>
      </c>
      <c r="Z5" t="s">
        <v>5</v>
      </c>
      <c r="AA5" t="s">
        <v>6</v>
      </c>
      <c r="AB5" t="s">
        <v>5</v>
      </c>
      <c r="AC5" t="s">
        <v>6</v>
      </c>
    </row>
    <row r="6" spans="2:29" x14ac:dyDescent="0.35">
      <c r="B6" t="s">
        <v>63</v>
      </c>
      <c r="L6" t="s">
        <v>63</v>
      </c>
      <c r="W6" t="s">
        <v>63</v>
      </c>
    </row>
    <row r="7" spans="2:29" x14ac:dyDescent="0.35">
      <c r="B7" t="s">
        <v>64</v>
      </c>
      <c r="L7" t="s">
        <v>64</v>
      </c>
      <c r="W7" t="s">
        <v>64</v>
      </c>
    </row>
    <row r="8" spans="2:29" x14ac:dyDescent="0.35">
      <c r="B8" t="s">
        <v>4</v>
      </c>
      <c r="L8" t="s">
        <v>4</v>
      </c>
      <c r="W8" t="s">
        <v>4</v>
      </c>
    </row>
  </sheetData>
  <mergeCells count="12">
    <mergeCell ref="X3:AA3"/>
    <mergeCell ref="X4:Y4"/>
    <mergeCell ref="Z4:AA4"/>
    <mergeCell ref="Q3:R3"/>
    <mergeCell ref="G3:H3"/>
    <mergeCell ref="AB3:AC3"/>
    <mergeCell ref="C4:D4"/>
    <mergeCell ref="E4:F4"/>
    <mergeCell ref="C3:F3"/>
    <mergeCell ref="M3:P3"/>
    <mergeCell ref="M4:N4"/>
    <mergeCell ref="O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56E2-3C1C-4CCD-9184-83F0F7DCF0E1}">
  <dimension ref="B3:AT18"/>
  <sheetViews>
    <sheetView topLeftCell="AA1" workbookViewId="0">
      <selection activeCell="AO3" sqref="AO3:AR3"/>
    </sheetView>
  </sheetViews>
  <sheetFormatPr defaultRowHeight="14.5" x14ac:dyDescent="0.35"/>
  <cols>
    <col min="24" max="26" width="10.90625" customWidth="1"/>
  </cols>
  <sheetData>
    <row r="3" spans="2:46" x14ac:dyDescent="0.35">
      <c r="C3" s="3" t="s">
        <v>19</v>
      </c>
      <c r="D3" s="3"/>
      <c r="E3" s="3"/>
      <c r="F3" s="3"/>
      <c r="G3" s="3"/>
      <c r="H3" s="3"/>
      <c r="L3" s="3" t="s">
        <v>72</v>
      </c>
      <c r="M3" s="3"/>
      <c r="N3" s="3"/>
      <c r="O3" s="3"/>
      <c r="P3" s="3"/>
      <c r="Q3" s="3"/>
      <c r="T3" t="s">
        <v>62</v>
      </c>
      <c r="U3" s="3" t="s">
        <v>67</v>
      </c>
      <c r="V3" s="3"/>
      <c r="W3" s="3"/>
      <c r="X3" s="3"/>
      <c r="Y3" s="1"/>
      <c r="Z3" s="1"/>
      <c r="AD3" t="s">
        <v>62</v>
      </c>
      <c r="AE3" s="3" t="s">
        <v>70</v>
      </c>
      <c r="AF3" s="3"/>
      <c r="AG3" s="3"/>
      <c r="AH3" s="3"/>
      <c r="AI3" s="3" t="s">
        <v>4</v>
      </c>
      <c r="AJ3" s="3"/>
      <c r="AN3" t="s">
        <v>62</v>
      </c>
      <c r="AO3" s="3" t="s">
        <v>73</v>
      </c>
      <c r="AP3" s="3"/>
      <c r="AQ3" s="3"/>
      <c r="AR3" s="3"/>
      <c r="AS3" s="3" t="s">
        <v>4</v>
      </c>
      <c r="AT3" s="3"/>
    </row>
    <row r="4" spans="2:46" x14ac:dyDescent="0.35">
      <c r="B4" t="s">
        <v>71</v>
      </c>
      <c r="C4" s="3" t="s">
        <v>2</v>
      </c>
      <c r="D4" s="3"/>
      <c r="E4" s="3" t="s">
        <v>3</v>
      </c>
      <c r="F4" s="3"/>
      <c r="G4" s="3" t="s">
        <v>4</v>
      </c>
      <c r="H4" s="3"/>
      <c r="K4" t="s">
        <v>71</v>
      </c>
      <c r="L4" s="3" t="s">
        <v>2</v>
      </c>
      <c r="M4" s="3"/>
      <c r="N4" s="3" t="s">
        <v>3</v>
      </c>
      <c r="O4" s="3"/>
      <c r="P4" s="3" t="s">
        <v>4</v>
      </c>
      <c r="Q4" s="3"/>
      <c r="U4" s="3" t="s">
        <v>65</v>
      </c>
      <c r="V4" s="3"/>
      <c r="W4" s="3" t="s">
        <v>66</v>
      </c>
      <c r="X4" s="3"/>
      <c r="Y4" s="3" t="s">
        <v>4</v>
      </c>
      <c r="Z4" s="3"/>
      <c r="AE4" s="3" t="s">
        <v>68</v>
      </c>
      <c r="AF4" s="3"/>
      <c r="AG4" s="3" t="s">
        <v>69</v>
      </c>
      <c r="AH4" s="3"/>
      <c r="AI4" t="s">
        <v>68</v>
      </c>
      <c r="AJ4" t="s">
        <v>69</v>
      </c>
      <c r="AO4" s="3" t="s">
        <v>68</v>
      </c>
      <c r="AP4" s="3"/>
      <c r="AQ4" s="3" t="s">
        <v>69</v>
      </c>
      <c r="AR4" s="3"/>
      <c r="AS4" t="s">
        <v>68</v>
      </c>
      <c r="AT4" t="s">
        <v>69</v>
      </c>
    </row>
    <row r="5" spans="2:46" x14ac:dyDescent="0.35">
      <c r="C5" s="1" t="s">
        <v>5</v>
      </c>
      <c r="D5" s="1" t="s">
        <v>6</v>
      </c>
      <c r="E5" s="1" t="s">
        <v>5</v>
      </c>
      <c r="F5" s="1" t="s">
        <v>6</v>
      </c>
      <c r="G5" s="1" t="s">
        <v>5</v>
      </c>
      <c r="H5" s="1" t="s">
        <v>6</v>
      </c>
      <c r="L5" s="1" t="s">
        <v>5</v>
      </c>
      <c r="M5" s="1" t="s">
        <v>6</v>
      </c>
      <c r="N5" s="1" t="s">
        <v>5</v>
      </c>
      <c r="O5" s="1" t="s">
        <v>6</v>
      </c>
      <c r="P5" s="1" t="s">
        <v>5</v>
      </c>
      <c r="Q5" s="1" t="s">
        <v>6</v>
      </c>
      <c r="U5" t="s">
        <v>5</v>
      </c>
      <c r="V5" t="s">
        <v>6</v>
      </c>
      <c r="W5" t="s">
        <v>5</v>
      </c>
      <c r="X5" t="s">
        <v>6</v>
      </c>
      <c r="Y5" t="s">
        <v>5</v>
      </c>
      <c r="Z5" t="s">
        <v>6</v>
      </c>
      <c r="AE5" t="s">
        <v>5</v>
      </c>
      <c r="AF5" t="s">
        <v>6</v>
      </c>
      <c r="AG5" t="s">
        <v>5</v>
      </c>
      <c r="AH5" t="s">
        <v>6</v>
      </c>
      <c r="AI5" t="s">
        <v>5</v>
      </c>
      <c r="AJ5" t="s">
        <v>6</v>
      </c>
      <c r="AO5" t="s">
        <v>5</v>
      </c>
      <c r="AP5" t="s">
        <v>6</v>
      </c>
      <c r="AQ5" t="s">
        <v>5</v>
      </c>
      <c r="AR5" t="s">
        <v>6</v>
      </c>
      <c r="AS5" t="s">
        <v>5</v>
      </c>
      <c r="AT5" t="s">
        <v>6</v>
      </c>
    </row>
    <row r="6" spans="2:46" x14ac:dyDescent="0.35">
      <c r="B6">
        <v>1</v>
      </c>
      <c r="K6">
        <v>1</v>
      </c>
      <c r="T6">
        <v>1</v>
      </c>
      <c r="AD6">
        <v>1</v>
      </c>
      <c r="AN6">
        <v>1</v>
      </c>
    </row>
    <row r="7" spans="2:46" x14ac:dyDescent="0.35">
      <c r="B7">
        <v>2</v>
      </c>
      <c r="K7">
        <v>2</v>
      </c>
      <c r="T7">
        <v>2</v>
      </c>
      <c r="AD7">
        <v>2</v>
      </c>
      <c r="AN7">
        <v>2</v>
      </c>
    </row>
    <row r="8" spans="2:46" x14ac:dyDescent="0.35">
      <c r="B8">
        <v>3</v>
      </c>
      <c r="K8">
        <v>3</v>
      </c>
      <c r="T8">
        <v>3</v>
      </c>
      <c r="AD8">
        <v>3</v>
      </c>
      <c r="AN8">
        <v>3</v>
      </c>
    </row>
    <row r="9" spans="2:46" x14ac:dyDescent="0.35">
      <c r="B9">
        <v>4</v>
      </c>
      <c r="K9">
        <v>4</v>
      </c>
      <c r="T9">
        <v>4</v>
      </c>
      <c r="AD9">
        <v>4</v>
      </c>
      <c r="AN9">
        <v>4</v>
      </c>
    </row>
    <row r="10" spans="2:46" x14ac:dyDescent="0.35">
      <c r="B10">
        <v>5</v>
      </c>
      <c r="K10">
        <v>5</v>
      </c>
      <c r="T10">
        <v>5</v>
      </c>
      <c r="AD10">
        <v>5</v>
      </c>
      <c r="AN10">
        <v>5</v>
      </c>
    </row>
    <row r="11" spans="2:46" x14ac:dyDescent="0.35">
      <c r="B11">
        <v>6</v>
      </c>
      <c r="K11">
        <v>6</v>
      </c>
      <c r="T11">
        <v>6</v>
      </c>
      <c r="AD11">
        <v>6</v>
      </c>
      <c r="AN11">
        <v>6</v>
      </c>
    </row>
    <row r="12" spans="2:46" x14ac:dyDescent="0.35">
      <c r="B12">
        <v>7</v>
      </c>
      <c r="K12">
        <v>7</v>
      </c>
      <c r="T12">
        <v>7</v>
      </c>
      <c r="AD12">
        <v>7</v>
      </c>
      <c r="AN12">
        <v>7</v>
      </c>
    </row>
    <row r="13" spans="2:46" x14ac:dyDescent="0.35">
      <c r="B13">
        <v>8</v>
      </c>
      <c r="K13">
        <v>8</v>
      </c>
      <c r="T13">
        <v>8</v>
      </c>
      <c r="AD13">
        <v>8</v>
      </c>
      <c r="AN13">
        <v>8</v>
      </c>
    </row>
    <row r="14" spans="2:46" x14ac:dyDescent="0.35">
      <c r="B14">
        <v>9</v>
      </c>
      <c r="K14">
        <v>9</v>
      </c>
      <c r="T14">
        <v>9</v>
      </c>
      <c r="AD14">
        <v>9</v>
      </c>
      <c r="AN14">
        <v>9</v>
      </c>
    </row>
    <row r="15" spans="2:46" x14ac:dyDescent="0.35">
      <c r="B15">
        <v>10</v>
      </c>
      <c r="K15">
        <v>10</v>
      </c>
      <c r="T15">
        <v>10</v>
      </c>
      <c r="AD15">
        <v>10</v>
      </c>
      <c r="AN15">
        <v>10</v>
      </c>
    </row>
    <row r="16" spans="2:46" x14ac:dyDescent="0.35">
      <c r="B16">
        <v>11</v>
      </c>
      <c r="K16">
        <v>11</v>
      </c>
      <c r="T16">
        <v>11</v>
      </c>
      <c r="AD16">
        <v>11</v>
      </c>
      <c r="AN16">
        <v>11</v>
      </c>
    </row>
    <row r="17" spans="2:40" x14ac:dyDescent="0.35">
      <c r="B17">
        <v>12</v>
      </c>
      <c r="K17">
        <v>12</v>
      </c>
      <c r="T17">
        <v>12</v>
      </c>
      <c r="AD17">
        <v>12</v>
      </c>
      <c r="AN17">
        <v>12</v>
      </c>
    </row>
    <row r="18" spans="2:40" x14ac:dyDescent="0.35">
      <c r="B18" t="s">
        <v>4</v>
      </c>
      <c r="K18" t="s">
        <v>4</v>
      </c>
      <c r="T18" t="s">
        <v>4</v>
      </c>
      <c r="AD18" t="s">
        <v>4</v>
      </c>
      <c r="AN18" t="s">
        <v>4</v>
      </c>
    </row>
  </sheetData>
  <mergeCells count="20">
    <mergeCell ref="AI3:AJ3"/>
    <mergeCell ref="AO3:AR3"/>
    <mergeCell ref="AS3:AT3"/>
    <mergeCell ref="AO4:AP4"/>
    <mergeCell ref="AQ4:AR4"/>
    <mergeCell ref="U3:X3"/>
    <mergeCell ref="U4:V4"/>
    <mergeCell ref="W4:X4"/>
    <mergeCell ref="AE3:AH3"/>
    <mergeCell ref="AE4:AF4"/>
    <mergeCell ref="AG4:AH4"/>
    <mergeCell ref="Y4:Z4"/>
    <mergeCell ref="C3:H3"/>
    <mergeCell ref="C4:D4"/>
    <mergeCell ref="E4:F4"/>
    <mergeCell ref="G4:H4"/>
    <mergeCell ref="L3:Q3"/>
    <mergeCell ref="L4:M4"/>
    <mergeCell ref="N4:O4"/>
    <mergeCell ref="P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</vt:lpstr>
      <vt:lpstr>Summary2</vt:lpstr>
      <vt:lpstr>Summary3</vt:lpstr>
      <vt:lpstr>Summary4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guya alpha</cp:lastModifiedBy>
  <dcterms:created xsi:type="dcterms:W3CDTF">2023-03-26T10:34:23Z</dcterms:created>
  <dcterms:modified xsi:type="dcterms:W3CDTF">2023-04-01T02:56:24Z</dcterms:modified>
</cp:coreProperties>
</file>