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dé\Desktop\ALKPLAST\CUSTOS\CUSTO FORRO 2018\"/>
    </mc:Choice>
  </mc:AlternateContent>
  <xr:revisionPtr revIDLastSave="0" documentId="13_ncr:1_{AE0CC1D4-FFDC-48FF-A8C7-F7E16A401EFE}" xr6:coauthVersionLast="34" xr6:coauthVersionMax="34" xr10:uidLastSave="{00000000-0000-0000-0000-000000000000}"/>
  <bookViews>
    <workbookView xWindow="360" yWindow="330" windowWidth="14355" windowHeight="4185" xr2:uid="{00000000-000D-0000-FFFF-FFFF00000000}"/>
  </bookViews>
  <sheets>
    <sheet name="Plan1" sheetId="1" r:id="rId1"/>
    <sheet name="Plan2" sheetId="2" r:id="rId2"/>
    <sheet name="Plan3" sheetId="3" r:id="rId3"/>
  </sheets>
  <calcPr calcId="179017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F4" i="1"/>
  <c r="F5" i="1"/>
  <c r="F6" i="1"/>
  <c r="F7" i="1"/>
  <c r="F8" i="1"/>
  <c r="F9" i="1"/>
  <c r="F10" i="1"/>
  <c r="F11" i="1"/>
  <c r="F12" i="1"/>
  <c r="G10" i="1"/>
  <c r="G6" i="1"/>
  <c r="G7" i="1"/>
  <c r="G8" i="1"/>
  <c r="G9" i="1"/>
  <c r="D6" i="1"/>
  <c r="D8" i="1"/>
  <c r="D10" i="1"/>
  <c r="D7" i="1"/>
  <c r="M18" i="1" l="1"/>
  <c r="M17" i="1"/>
  <c r="M19" i="1" l="1"/>
  <c r="M20" i="1" s="1"/>
  <c r="O17" i="1"/>
  <c r="P17" i="1" s="1"/>
  <c r="O18" i="1"/>
  <c r="P18" i="1" s="1"/>
  <c r="G22" i="1"/>
  <c r="G23" i="1"/>
  <c r="G24" i="1"/>
  <c r="G25" i="1"/>
  <c r="G26" i="1"/>
  <c r="G27" i="1"/>
  <c r="G28" i="1"/>
  <c r="G29" i="1"/>
  <c r="G30" i="1"/>
  <c r="G31" i="1"/>
  <c r="G32" i="1"/>
  <c r="G33" i="1"/>
  <c r="G21" i="1"/>
  <c r="K13" i="1"/>
  <c r="O1" i="1" s="1"/>
  <c r="D5" i="1"/>
  <c r="G4" i="1"/>
  <c r="D4" i="1"/>
  <c r="M4" i="1" s="1"/>
  <c r="D11" i="1"/>
  <c r="M11" i="1" s="1"/>
  <c r="D12" i="1"/>
  <c r="M12" i="1" s="1"/>
  <c r="G5" i="1"/>
  <c r="M6" i="1"/>
  <c r="M8" i="1"/>
  <c r="D9" i="1"/>
  <c r="M10" i="1"/>
  <c r="G3" i="1"/>
  <c r="D3" i="1"/>
  <c r="F3" i="1" s="1"/>
  <c r="J3" i="1" l="1"/>
  <c r="N3" i="1" s="1"/>
  <c r="L10" i="1"/>
  <c r="L6" i="1"/>
  <c r="L9" i="1"/>
  <c r="L5" i="1"/>
  <c r="L8" i="1"/>
  <c r="L4" i="1"/>
  <c r="L7" i="1"/>
  <c r="L3" i="1"/>
  <c r="H5" i="1"/>
  <c r="H9" i="1"/>
  <c r="H6" i="1"/>
  <c r="H10" i="1"/>
  <c r="H7" i="1"/>
  <c r="H4" i="1"/>
  <c r="H8" i="1"/>
  <c r="P19" i="1"/>
  <c r="P20" i="1" s="1"/>
  <c r="O19" i="1"/>
  <c r="O20" i="1" s="1"/>
  <c r="J5" i="1"/>
  <c r="N5" i="1" s="1"/>
  <c r="J9" i="1"/>
  <c r="N9" i="1" s="1"/>
  <c r="J7" i="1"/>
  <c r="N7" i="1" s="1"/>
  <c r="M3" i="1"/>
  <c r="H3" i="1"/>
  <c r="I3" i="1" s="1"/>
  <c r="M9" i="1"/>
  <c r="M5" i="1"/>
  <c r="M7" i="1"/>
  <c r="O8" i="1"/>
  <c r="O5" i="1"/>
  <c r="O4" i="1"/>
  <c r="O9" i="1"/>
  <c r="O7" i="1"/>
  <c r="J10" i="1"/>
  <c r="N10" i="1" s="1"/>
  <c r="J8" i="1"/>
  <c r="N8" i="1" s="1"/>
  <c r="J6" i="1"/>
  <c r="N6" i="1" s="1"/>
  <c r="N11" i="1"/>
  <c r="O3" i="1"/>
  <c r="O6" i="1"/>
  <c r="Q6" i="1" s="1"/>
  <c r="O10" i="1"/>
  <c r="H12" i="1" s="1"/>
  <c r="N12" i="1"/>
  <c r="J4" i="1"/>
  <c r="L13" i="1" l="1"/>
  <c r="Q9" i="1"/>
  <c r="H11" i="1"/>
  <c r="P7" i="1"/>
  <c r="P5" i="1"/>
  <c r="M13" i="1"/>
  <c r="Q10" i="1"/>
  <c r="P4" i="1"/>
  <c r="N4" i="1"/>
  <c r="N13" i="1" s="1"/>
  <c r="Q5" i="1"/>
  <c r="P9" i="1"/>
  <c r="P8" i="1"/>
  <c r="Q8" i="1"/>
  <c r="Q7" i="1"/>
  <c r="Q4" i="1"/>
  <c r="P6" i="1"/>
  <c r="P3" i="1"/>
  <c r="Q3" i="1"/>
  <c r="P10" i="1"/>
  <c r="O12" i="1"/>
  <c r="M14" i="1" l="1"/>
  <c r="M16" i="1"/>
  <c r="I18" i="1"/>
  <c r="N14" i="1"/>
  <c r="I17" i="1"/>
  <c r="H13" i="1"/>
  <c r="H15" i="1" s="1"/>
  <c r="Q13" i="1"/>
  <c r="O13" i="1"/>
  <c r="I13" i="1"/>
  <c r="P13" i="1"/>
  <c r="I32" i="1" l="1"/>
  <c r="I24" i="1"/>
  <c r="I31" i="1"/>
  <c r="I28" i="1"/>
  <c r="I23" i="1"/>
  <c r="I30" i="1"/>
  <c r="I26" i="1"/>
  <c r="I22" i="1"/>
  <c r="I33" i="1"/>
  <c r="I29" i="1"/>
  <c r="I25" i="1"/>
  <c r="I21" i="1"/>
  <c r="I27" i="1"/>
  <c r="J18" i="1"/>
  <c r="H16" i="1"/>
  <c r="U1" i="1"/>
  <c r="D33" i="1"/>
  <c r="D29" i="1"/>
  <c r="D25" i="1"/>
  <c r="D21" i="1"/>
  <c r="D31" i="1"/>
  <c r="D27" i="1"/>
  <c r="D26" i="1"/>
  <c r="D32" i="1"/>
  <c r="D28" i="1"/>
  <c r="D24" i="1"/>
  <c r="D30" i="1"/>
  <c r="D22" i="1"/>
  <c r="U3" i="1" l="1"/>
  <c r="U10" i="1" s="1"/>
  <c r="U16" i="1" l="1"/>
  <c r="U4" i="1"/>
  <c r="U5" i="1" s="1"/>
  <c r="U6" i="1"/>
  <c r="U7" i="1"/>
  <c r="U8" i="1"/>
  <c r="U9" i="1"/>
  <c r="U21" i="1" l="1"/>
  <c r="U22" i="1" s="1"/>
  <c r="U20" i="1"/>
  <c r="U11" i="1"/>
  <c r="U13" i="1" s="1"/>
  <c r="U23" i="1" l="1"/>
  <c r="U24" i="1" s="1"/>
  <c r="U14" i="1"/>
  <c r="U15" i="1" s="1"/>
  <c r="U17" i="1"/>
  <c r="U18" i="1" s="1"/>
  <c r="U19" i="1" s="1"/>
  <c r="U25" i="1" l="1"/>
  <c r="U26" i="1" s="1"/>
  <c r="U27" i="1" s="1"/>
</calcChain>
</file>

<file path=xl/sharedStrings.xml><?xml version="1.0" encoding="utf-8"?>
<sst xmlns="http://schemas.openxmlformats.org/spreadsheetml/2006/main" count="82" uniqueCount="80">
  <si>
    <t>RESINA</t>
  </si>
  <si>
    <t>PRODUTO</t>
  </si>
  <si>
    <t>VLR_NOTA</t>
  </si>
  <si>
    <t>IPI</t>
  </si>
  <si>
    <t>FRETE</t>
  </si>
  <si>
    <t>VLR_AQS</t>
  </si>
  <si>
    <t>CMV</t>
  </si>
  <si>
    <t>ICMS_ENT</t>
  </si>
  <si>
    <t>AZULANTE</t>
  </si>
  <si>
    <t>CARBONATO</t>
  </si>
  <si>
    <t>TITÂNIO</t>
  </si>
  <si>
    <t>1809 - BAROPAN</t>
  </si>
  <si>
    <t>ESTEARINA</t>
  </si>
  <si>
    <t>BARORARIP</t>
  </si>
  <si>
    <t>ESTEARATO DE CALCIO</t>
  </si>
  <si>
    <t>EMBALAGEM PLAST</t>
  </si>
  <si>
    <t>EMBALAGEM PAPELÃO</t>
  </si>
  <si>
    <t>BATELADA</t>
  </si>
  <si>
    <t>QDADE_PROD_M2</t>
  </si>
  <si>
    <t>VLR_M2_MCV</t>
  </si>
  <si>
    <t>VLR_AQS_M2</t>
  </si>
  <si>
    <t>MARKUP</t>
  </si>
  <si>
    <t>PREÇO VENDA</t>
  </si>
  <si>
    <t>ICMS SAIDA</t>
  </si>
  <si>
    <t>ICMS DEVIDO</t>
  </si>
  <si>
    <t>PIS/CONFINS</t>
  </si>
  <si>
    <t>IRPJ/CSLL</t>
  </si>
  <si>
    <t>COMISSÃO</t>
  </si>
  <si>
    <t>FRETE_SAIDA</t>
  </si>
  <si>
    <t>FINANCEIRO</t>
  </si>
  <si>
    <t>DESPESAS</t>
  </si>
  <si>
    <t>DESPESAS + CMV</t>
  </si>
  <si>
    <t>MC_ABS</t>
  </si>
  <si>
    <t>MC_%</t>
  </si>
  <si>
    <t>DESP_OPERACIONAIS</t>
  </si>
  <si>
    <t>MC_OPR_ABS</t>
  </si>
  <si>
    <t>MC_OPR_%</t>
  </si>
  <si>
    <t>DESENVOLVE 1</t>
  </si>
  <si>
    <t>ICMS_ENT_M2</t>
  </si>
  <si>
    <t>DESP + CMV + DESP.OPER</t>
  </si>
  <si>
    <t>CMV_KG</t>
  </si>
  <si>
    <t>CUSTO DA BATELADA_CMV</t>
  </si>
  <si>
    <t>ICMS_ENT_KG</t>
  </si>
  <si>
    <t>PREÇO-KG.COMPOSTO_CMV</t>
  </si>
  <si>
    <t>COMPOSTO FORRO DE PVC</t>
  </si>
  <si>
    <t>CUSTO BATELADA_AQS</t>
  </si>
  <si>
    <t xml:space="preserve">PREÇO KG _AQUISIÇÃO </t>
  </si>
  <si>
    <t>CODIGO</t>
  </si>
  <si>
    <t>NOME</t>
  </si>
  <si>
    <t>PESO_BRUTO</t>
  </si>
  <si>
    <t>PLASTILON</t>
  </si>
  <si>
    <t>ARREMATE F BRANCO GELO</t>
  </si>
  <si>
    <t>ARREMATE F BRANCO NEVE</t>
  </si>
  <si>
    <t>ARREMATE U BRANCO GELO</t>
  </si>
  <si>
    <t>ARREMATE U BRANCO NEVE</t>
  </si>
  <si>
    <t>RODA FORRO COLONIAL BRANCO GELO</t>
  </si>
  <si>
    <t>RODA FORRO COLONIAL BRANCO NEVE</t>
  </si>
  <si>
    <t>RODA FORRO MEIA CANA BRANCO GELO</t>
  </si>
  <si>
    <t>RODA FORRO MEIA CANA BRANCO NEVE</t>
  </si>
  <si>
    <t>EMENDA RIGIDA BRANCO GELO</t>
  </si>
  <si>
    <t>EMENDA RIGIDA BRANCO NEVE</t>
  </si>
  <si>
    <t>EMENDA FLEXIVEL BRANCO GELO</t>
  </si>
  <si>
    <t>EMENDA FLEXIVEL BRANCO NEVE</t>
  </si>
  <si>
    <t>VLR_CMV</t>
  </si>
  <si>
    <t>P.VENDA</t>
  </si>
  <si>
    <t>MC</t>
  </si>
  <si>
    <t>MC %</t>
  </si>
  <si>
    <t>icmcs</t>
  </si>
  <si>
    <t>cmv</t>
  </si>
  <si>
    <t>DESENVOLVE 2</t>
  </si>
  <si>
    <t>DESENVOLVE 3</t>
  </si>
  <si>
    <t>MC_OPR_ABS+DESENV</t>
  </si>
  <si>
    <t>MC% _DESENV</t>
  </si>
  <si>
    <t>TOTAL DO DESENVOL</t>
  </si>
  <si>
    <t>TOTAL DE CREDITO DESENVOLVE</t>
  </si>
  <si>
    <t xml:space="preserve">DESP FINAL </t>
  </si>
  <si>
    <t>PCR _ 100 PROD_KG_BATELADA</t>
  </si>
  <si>
    <t>% MAT. PRIMA_BATELADA</t>
  </si>
  <si>
    <t>CUSTO PRO.KG</t>
  </si>
  <si>
    <t>CUSTO PROD.M/2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</si>
</sst>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"/>
    <numFmt numFmtId="165" formatCode="0.000"/>
    <numFmt numFmtId="166" formatCode="0.0000"/>
    <numFmt numFmtId="167" formatCode="######0"/>
    <numFmt numFmtId="168" formatCode="####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sz val="16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164" fontId="0" fillId="0" borderId="0" xfId="0" applyNumberFormat="1"/>
    <xf numFmtId="0" fontId="3" fillId="2" borderId="1" xfId="0" applyFont="1" applyFill="1" applyBorder="1"/>
    <xf numFmtId="0" fontId="2" fillId="2" borderId="1" xfId="0" applyFont="1" applyFill="1" applyBorder="1"/>
    <xf numFmtId="164" fontId="4" fillId="2" borderId="1" xfId="0" applyNumberFormat="1" applyFont="1" applyFill="1" applyBorder="1"/>
    <xf numFmtId="164" fontId="4" fillId="2" borderId="2" xfId="0" applyNumberFormat="1" applyFont="1" applyFill="1" applyBorder="1"/>
    <xf numFmtId="165" fontId="0" fillId="0" borderId="0" xfId="0" applyNumberFormat="1"/>
    <xf numFmtId="0" fontId="0" fillId="0" borderId="1" xfId="0" applyBorder="1"/>
    <xf numFmtId="0" fontId="5" fillId="0" borderId="1" xfId="0" applyFont="1" applyBorder="1"/>
    <xf numFmtId="0" fontId="5" fillId="7" borderId="1" xfId="0" applyFont="1" applyFill="1" applyBorder="1"/>
    <xf numFmtId="0" fontId="5" fillId="9" borderId="1" xfId="0" applyFont="1" applyFill="1" applyBorder="1"/>
    <xf numFmtId="10" fontId="5" fillId="0" borderId="1" xfId="0" applyNumberFormat="1" applyFont="1" applyBorder="1"/>
    <xf numFmtId="0" fontId="5" fillId="8" borderId="1" xfId="0" applyFont="1" applyFill="1" applyBorder="1"/>
    <xf numFmtId="0" fontId="5" fillId="6" borderId="1" xfId="0" applyFont="1" applyFill="1" applyBorder="1"/>
    <xf numFmtId="0" fontId="5" fillId="3" borderId="1" xfId="0" applyFont="1" applyFill="1" applyBorder="1"/>
    <xf numFmtId="165" fontId="5" fillId="0" borderId="1" xfId="0" applyNumberFormat="1" applyFont="1" applyBorder="1"/>
    <xf numFmtId="165" fontId="9" fillId="8" borderId="1" xfId="0" applyNumberFormat="1" applyFont="1" applyFill="1" applyBorder="1"/>
    <xf numFmtId="10" fontId="5" fillId="0" borderId="1" xfId="1" applyNumberFormat="1" applyFont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5" xfId="0" applyNumberFormat="1" applyBorder="1"/>
    <xf numFmtId="166" fontId="0" fillId="0" borderId="1" xfId="0" applyNumberFormat="1" applyBorder="1"/>
    <xf numFmtId="164" fontId="7" fillId="0" borderId="1" xfId="0" applyNumberFormat="1" applyFont="1" applyBorder="1"/>
    <xf numFmtId="164" fontId="6" fillId="0" borderId="1" xfId="0" applyNumberFormat="1" applyFont="1" applyBorder="1"/>
    <xf numFmtId="165" fontId="6" fillId="2" borderId="6" xfId="0" applyNumberFormat="1" applyFont="1" applyFill="1" applyBorder="1"/>
    <xf numFmtId="165" fontId="6" fillId="2" borderId="1" xfId="0" applyNumberFormat="1" applyFont="1" applyFill="1" applyBorder="1"/>
    <xf numFmtId="0" fontId="10" fillId="0" borderId="0" xfId="0" applyFont="1" applyBorder="1" applyAlignment="1" applyProtection="1"/>
    <xf numFmtId="167" fontId="0" fillId="0" borderId="0" xfId="0" applyNumberFormat="1" applyFont="1" applyBorder="1" applyAlignment="1" applyProtection="1"/>
    <xf numFmtId="0" fontId="0" fillId="0" borderId="0" xfId="0" applyFont="1" applyBorder="1" applyAlignment="1" applyProtection="1"/>
    <xf numFmtId="10" fontId="0" fillId="0" borderId="0" xfId="1" applyNumberFormat="1" applyFont="1"/>
    <xf numFmtId="0" fontId="0" fillId="3" borderId="1" xfId="0" applyFill="1" applyBorder="1"/>
    <xf numFmtId="0" fontId="0" fillId="7" borderId="0" xfId="0" applyFill="1"/>
    <xf numFmtId="4" fontId="0" fillId="0" borderId="0" xfId="0" applyNumberFormat="1"/>
    <xf numFmtId="0" fontId="0" fillId="10" borderId="1" xfId="0" applyFill="1" applyBorder="1"/>
    <xf numFmtId="164" fontId="2" fillId="0" borderId="0" xfId="0" applyNumberFormat="1" applyFont="1"/>
    <xf numFmtId="168" fontId="2" fillId="0" borderId="0" xfId="0" applyNumberFormat="1" applyFont="1" applyBorder="1" applyAlignment="1" applyProtection="1"/>
    <xf numFmtId="10" fontId="2" fillId="0" borderId="0" xfId="1" applyNumberFormat="1" applyFont="1"/>
    <xf numFmtId="165" fontId="5" fillId="0" borderId="0" xfId="0" applyNumberFormat="1" applyFont="1" applyBorder="1"/>
    <xf numFmtId="165" fontId="9" fillId="8" borderId="0" xfId="0" applyNumberFormat="1" applyFont="1" applyFill="1" applyBorder="1"/>
    <xf numFmtId="165" fontId="5" fillId="4" borderId="0" xfId="0" applyNumberFormat="1" applyFont="1" applyFill="1" applyBorder="1" applyAlignment="1">
      <alignment vertical="center"/>
    </xf>
    <xf numFmtId="10" fontId="5" fillId="0" borderId="0" xfId="1" applyNumberFormat="1" applyFont="1" applyBorder="1"/>
    <xf numFmtId="10" fontId="0" fillId="0" borderId="5" xfId="1" applyNumberFormat="1" applyFont="1" applyBorder="1"/>
    <xf numFmtId="164" fontId="8" fillId="5" borderId="1" xfId="0" applyNumberFormat="1" applyFont="1" applyFill="1" applyBorder="1" applyAlignment="1"/>
    <xf numFmtId="164" fontId="0" fillId="2" borderId="1" xfId="0" applyNumberFormat="1" applyFill="1" applyBorder="1" applyAlignment="1">
      <alignment horizont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165" fontId="5" fillId="4" borderId="4" xfId="0" applyNumberFormat="1" applyFont="1" applyFill="1" applyBorder="1" applyAlignment="1">
      <alignment vertical="center"/>
    </xf>
    <xf numFmtId="165" fontId="5" fillId="4" borderId="3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64" fontId="8" fillId="5" borderId="5" xfId="0" applyNumberFormat="1" applyFont="1" applyFill="1" applyBorder="1" applyAlignment="1">
      <alignment horizontal="center"/>
    </xf>
    <xf numFmtId="164" fontId="8" fillId="5" borderId="7" xfId="0" applyNumberFormat="1" applyFont="1" applyFill="1" applyBorder="1" applyAlignment="1">
      <alignment horizontal="center"/>
    </xf>
    <xf numFmtId="164" fontId="8" fillId="5" borderId="8" xfId="0" applyNumberFormat="1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"/>
  <sheetViews>
    <sheetView tabSelected="1" zoomScale="78" zoomScaleNormal="78" workbookViewId="0">
      <selection activeCell="A16" sqref="A16"/>
    </sheetView>
  </sheetViews>
  <sheetFormatPr defaultRowHeight="15" x14ac:dyDescent="0.25"/>
  <cols>
    <col min="1" max="1" width="5.42578125" customWidth="1"/>
    <col min="2" max="2" width="19.7109375" customWidth="1"/>
    <col min="3" max="3" width="13.140625" style="1" customWidth="1"/>
    <col min="4" max="4" width="9.42578125" style="1" bestFit="1" customWidth="1"/>
    <col min="5" max="5" width="9.140625" style="1"/>
    <col min="6" max="6" width="12.28515625" style="1" customWidth="1"/>
    <col min="7" max="7" width="12.7109375" style="1" bestFit="1" customWidth="1"/>
    <col min="8" max="8" width="19.5703125" style="1" customWidth="1"/>
    <col min="9" max="9" width="25" style="1" bestFit="1" customWidth="1"/>
    <col min="10" max="10" width="9.140625" style="1" bestFit="1" customWidth="1"/>
    <col min="11" max="12" width="19.7109375" customWidth="1"/>
    <col min="13" max="13" width="23.28515625" bestFit="1" customWidth="1"/>
    <col min="14" max="14" width="18.42578125" customWidth="1"/>
    <col min="15" max="15" width="20.140625" customWidth="1"/>
    <col min="16" max="17" width="12" customWidth="1"/>
    <col min="18" max="18" width="9.140625" customWidth="1"/>
    <col min="19" max="19" width="38.42578125" bestFit="1" customWidth="1"/>
    <col min="20" max="20" width="10.42578125" bestFit="1" customWidth="1"/>
    <col min="21" max="21" width="12" style="6" bestFit="1" customWidth="1"/>
    <col min="22" max="22" width="12" style="6" customWidth="1"/>
  </cols>
  <sheetData>
    <row r="1" spans="2:22" ht="21" x14ac:dyDescent="0.35">
      <c r="C1" s="52" t="s">
        <v>44</v>
      </c>
      <c r="D1" s="53"/>
      <c r="E1" s="53"/>
      <c r="F1" s="53"/>
      <c r="G1" s="54"/>
      <c r="H1" s="42" t="s">
        <v>78</v>
      </c>
      <c r="I1" s="42" t="s">
        <v>79</v>
      </c>
      <c r="K1" s="50" t="s">
        <v>17</v>
      </c>
      <c r="L1" s="50"/>
      <c r="M1" s="50"/>
      <c r="N1" s="50"/>
      <c r="O1" s="19">
        <f>K13</f>
        <v>146.322</v>
      </c>
      <c r="S1" s="8" t="s">
        <v>6</v>
      </c>
      <c r="T1" s="9"/>
      <c r="U1" s="15">
        <f>P13</f>
        <v>5.3649161465808275</v>
      </c>
      <c r="V1" s="40"/>
    </row>
    <row r="2" spans="2:22" ht="18.75" x14ac:dyDescent="0.3">
      <c r="B2" s="2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7</v>
      </c>
      <c r="H2" s="4" t="s">
        <v>42</v>
      </c>
      <c r="I2" s="4" t="s">
        <v>38</v>
      </c>
      <c r="J2" s="4" t="s">
        <v>40</v>
      </c>
      <c r="K2" s="4" t="s">
        <v>76</v>
      </c>
      <c r="L2" s="4" t="s">
        <v>77</v>
      </c>
      <c r="M2" s="4" t="s">
        <v>45</v>
      </c>
      <c r="N2" s="4" t="s">
        <v>41</v>
      </c>
      <c r="O2" s="5" t="s">
        <v>18</v>
      </c>
      <c r="P2" s="4" t="s">
        <v>19</v>
      </c>
      <c r="Q2" s="4" t="s">
        <v>20</v>
      </c>
      <c r="S2" s="10" t="s">
        <v>21</v>
      </c>
      <c r="T2" s="8">
        <v>1.75</v>
      </c>
      <c r="U2" s="15"/>
      <c r="V2" s="37"/>
    </row>
    <row r="3" spans="2:22" ht="15.75" x14ac:dyDescent="0.25">
      <c r="B3" s="3" t="s">
        <v>0</v>
      </c>
      <c r="C3" s="18">
        <v>4.95</v>
      </c>
      <c r="D3" s="18">
        <f>C3*5%</f>
        <v>0.24750000000000003</v>
      </c>
      <c r="E3" s="18">
        <v>0</v>
      </c>
      <c r="F3" s="18">
        <f>SUM(C3:E3)</f>
        <v>5.1974999999999998</v>
      </c>
      <c r="G3" s="18">
        <f>C3*18%</f>
        <v>0.89100000000000001</v>
      </c>
      <c r="H3" s="18">
        <f>G3*K3/O1</f>
        <v>0.60893098782138022</v>
      </c>
      <c r="I3" s="18">
        <f>H3*1.4</f>
        <v>0.85250338294993222</v>
      </c>
      <c r="J3" s="18">
        <f>F3-G3</f>
        <v>4.3064999999999998</v>
      </c>
      <c r="K3" s="19">
        <v>100</v>
      </c>
      <c r="L3" s="41">
        <f>K3/O1</f>
        <v>0.68342422875575781</v>
      </c>
      <c r="M3" s="20">
        <f>F3*K3</f>
        <v>519.75</v>
      </c>
      <c r="N3" s="20">
        <f>K3*J3</f>
        <v>430.65</v>
      </c>
      <c r="O3" s="21">
        <f>K3/O1*1.4</f>
        <v>0.95679392025806087</v>
      </c>
      <c r="P3" s="7">
        <f t="shared" ref="P3:P10" si="0">O3*J3</f>
        <v>4.1204330175913393</v>
      </c>
      <c r="Q3" s="7">
        <f t="shared" ref="Q3:Q10" si="1">F3*O3</f>
        <v>4.9729364005412711</v>
      </c>
      <c r="S3" s="10" t="s">
        <v>22</v>
      </c>
      <c r="T3" s="9"/>
      <c r="U3" s="15">
        <f>U1*T2</f>
        <v>9.3886032565164488</v>
      </c>
      <c r="V3" s="37"/>
    </row>
    <row r="4" spans="2:22" ht="15.75" x14ac:dyDescent="0.25">
      <c r="B4" s="3" t="s">
        <v>9</v>
      </c>
      <c r="C4" s="18">
        <v>0.64</v>
      </c>
      <c r="D4" s="18">
        <f>C4*0%</f>
        <v>0</v>
      </c>
      <c r="E4" s="18">
        <v>0.26</v>
      </c>
      <c r="F4" s="18">
        <f t="shared" ref="F4:F12" si="2">SUM(C4:E4)</f>
        <v>0.9</v>
      </c>
      <c r="G4" s="18">
        <f>C4*12%</f>
        <v>7.6799999999999993E-2</v>
      </c>
      <c r="H4" s="18">
        <f>G4*K4/O1</f>
        <v>2.0994792307376879E-2</v>
      </c>
      <c r="I4" s="18">
        <f t="shared" ref="I4:I12" si="3">H4*1.4</f>
        <v>2.9392709230327628E-2</v>
      </c>
      <c r="J4" s="18">
        <f>F4-G4</f>
        <v>0.82320000000000004</v>
      </c>
      <c r="K4" s="19">
        <v>40</v>
      </c>
      <c r="L4" s="41">
        <f>K4/O1</f>
        <v>0.27336969150230311</v>
      </c>
      <c r="M4" s="20">
        <f t="shared" ref="M4:M12" si="4">F4*K4</f>
        <v>36</v>
      </c>
      <c r="N4" s="20">
        <f t="shared" ref="N4:N12" si="5">K4*J4</f>
        <v>32.928000000000004</v>
      </c>
      <c r="O4" s="21">
        <f>K4/O1*1.4</f>
        <v>0.38271756810322433</v>
      </c>
      <c r="P4" s="7">
        <f t="shared" si="0"/>
        <v>0.31505310206257431</v>
      </c>
      <c r="Q4" s="7">
        <f t="shared" si="1"/>
        <v>0.34444581129290192</v>
      </c>
      <c r="S4" s="10" t="s">
        <v>23</v>
      </c>
      <c r="T4" s="11">
        <v>0.18</v>
      </c>
      <c r="U4" s="15">
        <f>U3*T4</f>
        <v>1.6899485861729606</v>
      </c>
      <c r="V4" s="37"/>
    </row>
    <row r="5" spans="2:22" ht="15.75" x14ac:dyDescent="0.25">
      <c r="B5" s="3" t="s">
        <v>10</v>
      </c>
      <c r="C5" s="18">
        <v>17.510000000000002</v>
      </c>
      <c r="D5" s="18">
        <f>C5*0%</f>
        <v>0</v>
      </c>
      <c r="E5" s="18">
        <v>0</v>
      </c>
      <c r="F5" s="18">
        <f t="shared" si="2"/>
        <v>17.510000000000002</v>
      </c>
      <c r="G5" s="18">
        <f t="shared" ref="G5" si="6">C5*18%</f>
        <v>3.1518000000000002</v>
      </c>
      <c r="H5" s="18">
        <f>G5*K5/O1</f>
        <v>3.1879443966047485E-2</v>
      </c>
      <c r="I5" s="18">
        <f t="shared" si="3"/>
        <v>4.4631221552466474E-2</v>
      </c>
      <c r="J5" s="18">
        <f t="shared" ref="J5:J10" si="7">F5-G5</f>
        <v>14.358200000000002</v>
      </c>
      <c r="K5" s="19">
        <v>1.48</v>
      </c>
      <c r="L5" s="41">
        <f>K5/O1</f>
        <v>1.0114678585585216E-2</v>
      </c>
      <c r="M5" s="20">
        <f t="shared" si="4"/>
        <v>25.914800000000003</v>
      </c>
      <c r="N5" s="20">
        <f t="shared" si="5"/>
        <v>21.250136000000001</v>
      </c>
      <c r="O5" s="21">
        <f>K5/O1*1.4</f>
        <v>1.4160550019819302E-2</v>
      </c>
      <c r="P5" s="7">
        <f t="shared" si="0"/>
        <v>0.20332000929456953</v>
      </c>
      <c r="Q5" s="7">
        <f t="shared" si="1"/>
        <v>0.24795123084703599</v>
      </c>
      <c r="S5" s="12" t="s">
        <v>24</v>
      </c>
      <c r="T5" s="9"/>
      <c r="U5" s="16">
        <f>U4-I13</f>
        <v>0.72212939562061729</v>
      </c>
      <c r="V5" s="38"/>
    </row>
    <row r="6" spans="2:22" ht="15.75" x14ac:dyDescent="0.25">
      <c r="B6" s="3" t="s">
        <v>8</v>
      </c>
      <c r="C6" s="18">
        <v>39</v>
      </c>
      <c r="D6" s="18">
        <f>C6*0%</f>
        <v>0</v>
      </c>
      <c r="E6" s="18">
        <v>0.7</v>
      </c>
      <c r="F6" s="18">
        <f t="shared" si="2"/>
        <v>39.700000000000003</v>
      </c>
      <c r="G6" s="18">
        <f>C6*7%</f>
        <v>2.7300000000000004</v>
      </c>
      <c r="H6" s="18">
        <f>G6*K6/O1</f>
        <v>1.1567638495919958E-3</v>
      </c>
      <c r="I6" s="18">
        <f t="shared" si="3"/>
        <v>1.619469389428794E-3</v>
      </c>
      <c r="J6" s="18">
        <f t="shared" si="7"/>
        <v>36.97</v>
      </c>
      <c r="K6" s="19">
        <v>6.2E-2</v>
      </c>
      <c r="L6" s="41">
        <f>K6/O1</f>
        <v>4.2372302182856986E-4</v>
      </c>
      <c r="M6" s="20">
        <f t="shared" si="4"/>
        <v>2.4614000000000003</v>
      </c>
      <c r="N6" s="20">
        <f t="shared" si="5"/>
        <v>2.2921399999999998</v>
      </c>
      <c r="O6" s="21">
        <f>K6/O1*1.4</f>
        <v>5.9321223055999771E-4</v>
      </c>
      <c r="P6" s="7">
        <f t="shared" si="0"/>
        <v>2.1931056163803114E-2</v>
      </c>
      <c r="Q6" s="7">
        <f t="shared" si="1"/>
        <v>2.3550525553231911E-2</v>
      </c>
      <c r="S6" s="12" t="s">
        <v>25</v>
      </c>
      <c r="T6" s="11">
        <v>3.6499999999999998E-2</v>
      </c>
      <c r="U6" s="15">
        <f>U3*T6</f>
        <v>0.34268401886285038</v>
      </c>
      <c r="V6" s="37"/>
    </row>
    <row r="7" spans="2:22" ht="15.75" x14ac:dyDescent="0.25">
      <c r="B7" s="3" t="s">
        <v>11</v>
      </c>
      <c r="C7" s="18">
        <v>10.89</v>
      </c>
      <c r="D7" s="18">
        <f>C7*10%</f>
        <v>1.0890000000000002</v>
      </c>
      <c r="E7" s="18">
        <v>0.7</v>
      </c>
      <c r="F7" s="18">
        <f t="shared" si="2"/>
        <v>12.679</v>
      </c>
      <c r="G7" s="18">
        <f>C7*7%</f>
        <v>0.76230000000000009</v>
      </c>
      <c r="H7" s="18">
        <f>G7*K7/O1</f>
        <v>1.8755074424898512E-2</v>
      </c>
      <c r="I7" s="18">
        <f t="shared" si="3"/>
        <v>2.6257104194857914E-2</v>
      </c>
      <c r="J7" s="18">
        <f t="shared" si="7"/>
        <v>11.916700000000001</v>
      </c>
      <c r="K7" s="19">
        <v>3.6</v>
      </c>
      <c r="L7" s="41">
        <f>K7/O1</f>
        <v>2.4603272235207283E-2</v>
      </c>
      <c r="M7" s="20">
        <f t="shared" si="4"/>
        <v>45.644400000000005</v>
      </c>
      <c r="N7" s="20">
        <f t="shared" si="5"/>
        <v>42.900120000000001</v>
      </c>
      <c r="O7" s="21">
        <f>K7/O1*1.4</f>
        <v>3.4444581129290192E-2</v>
      </c>
      <c r="P7" s="7">
        <f t="shared" si="0"/>
        <v>0.41046573994341246</v>
      </c>
      <c r="Q7" s="7">
        <f t="shared" si="1"/>
        <v>0.43672284413827034</v>
      </c>
      <c r="S7" s="12" t="s">
        <v>26</v>
      </c>
      <c r="T7" s="11">
        <v>4.2799999999999998E-2</v>
      </c>
      <c r="U7" s="15">
        <f>U3*T7</f>
        <v>0.40183221937890401</v>
      </c>
      <c r="V7" s="37"/>
    </row>
    <row r="8" spans="2:22" ht="15.75" x14ac:dyDescent="0.25">
      <c r="B8" s="3" t="s">
        <v>12</v>
      </c>
      <c r="C8" s="18">
        <v>12.05</v>
      </c>
      <c r="D8" s="18">
        <f>C8*0%</f>
        <v>0</v>
      </c>
      <c r="E8" s="18">
        <v>0.7</v>
      </c>
      <c r="F8" s="18">
        <f t="shared" si="2"/>
        <v>12.75</v>
      </c>
      <c r="G8" s="18">
        <f>C8*7%</f>
        <v>0.84350000000000014</v>
      </c>
      <c r="H8" s="18">
        <f>G8*K8/O1</f>
        <v>1.0376430065198673E-3</v>
      </c>
      <c r="I8" s="18">
        <f t="shared" si="3"/>
        <v>1.4527002091278142E-3</v>
      </c>
      <c r="J8" s="18">
        <f t="shared" si="7"/>
        <v>11.906499999999999</v>
      </c>
      <c r="K8" s="19">
        <v>0.18</v>
      </c>
      <c r="L8" s="41">
        <f>K8/O1</f>
        <v>1.230163611760364E-3</v>
      </c>
      <c r="M8" s="20">
        <f t="shared" si="4"/>
        <v>2.2949999999999999</v>
      </c>
      <c r="N8" s="20">
        <f t="shared" si="5"/>
        <v>2.14317</v>
      </c>
      <c r="O8" s="21">
        <f>K8/O1*1.4</f>
        <v>1.7222290564645095E-3</v>
      </c>
      <c r="P8" s="7">
        <f t="shared" si="0"/>
        <v>2.0505720260794683E-2</v>
      </c>
      <c r="Q8" s="7">
        <f t="shared" si="1"/>
        <v>2.1958420469922496E-2</v>
      </c>
      <c r="S8" s="12" t="s">
        <v>27</v>
      </c>
      <c r="T8" s="11">
        <v>3.5000000000000003E-2</v>
      </c>
      <c r="U8" s="15">
        <f>U3*T8</f>
        <v>0.32860111397807573</v>
      </c>
      <c r="V8" s="37"/>
    </row>
    <row r="9" spans="2:22" ht="15.75" x14ac:dyDescent="0.25">
      <c r="B9" s="3" t="s">
        <v>13</v>
      </c>
      <c r="C9" s="18">
        <v>3.97</v>
      </c>
      <c r="D9" s="18">
        <f t="shared" ref="D9:D12" si="8">C9*5%</f>
        <v>0.19850000000000001</v>
      </c>
      <c r="E9" s="18">
        <v>0.7</v>
      </c>
      <c r="F9" s="18">
        <f t="shared" si="2"/>
        <v>4.8685</v>
      </c>
      <c r="G9" s="18">
        <f>C9*4%</f>
        <v>0.15880000000000002</v>
      </c>
      <c r="H9" s="18">
        <f>G9*K9/O1</f>
        <v>6.5116660515848615E-4</v>
      </c>
      <c r="I9" s="18">
        <f t="shared" si="3"/>
        <v>9.1163324722188057E-4</v>
      </c>
      <c r="J9" s="18">
        <f t="shared" si="7"/>
        <v>4.7096999999999998</v>
      </c>
      <c r="K9" s="19">
        <v>0.6</v>
      </c>
      <c r="L9" s="41">
        <f>K9/O1</f>
        <v>4.1005453725345472E-3</v>
      </c>
      <c r="M9" s="20">
        <f t="shared" si="4"/>
        <v>2.9211</v>
      </c>
      <c r="N9" s="20">
        <f t="shared" si="5"/>
        <v>2.8258199999999998</v>
      </c>
      <c r="O9" s="21">
        <f>K9/O1*1.4</f>
        <v>5.7407635215483655E-3</v>
      </c>
      <c r="P9" s="7">
        <f t="shared" si="0"/>
        <v>2.7037273957436336E-2</v>
      </c>
      <c r="Q9" s="7">
        <f t="shared" si="1"/>
        <v>2.7948907204658219E-2</v>
      </c>
      <c r="S9" s="12" t="s">
        <v>28</v>
      </c>
      <c r="T9" s="11">
        <v>0.05</v>
      </c>
      <c r="U9" s="15">
        <f>U3*T9</f>
        <v>0.46943016282582245</v>
      </c>
      <c r="V9" s="37"/>
    </row>
    <row r="10" spans="2:22" ht="15.75" x14ac:dyDescent="0.25">
      <c r="B10" s="3" t="s">
        <v>14</v>
      </c>
      <c r="C10" s="18">
        <v>6.6</v>
      </c>
      <c r="D10" s="18">
        <f>C10*0%</f>
        <v>0</v>
      </c>
      <c r="E10" s="18">
        <v>0.7</v>
      </c>
      <c r="F10" s="18">
        <f t="shared" si="2"/>
        <v>7.3</v>
      </c>
      <c r="G10" s="18">
        <f>C10*7%</f>
        <v>0.46200000000000002</v>
      </c>
      <c r="H10" s="18">
        <f>G10/K10/O1</f>
        <v>7.8935498421290034E-3</v>
      </c>
      <c r="I10" s="18">
        <f t="shared" si="3"/>
        <v>1.1050969778980605E-2</v>
      </c>
      <c r="J10" s="18">
        <f t="shared" si="7"/>
        <v>6.8380000000000001</v>
      </c>
      <c r="K10" s="19">
        <v>0.4</v>
      </c>
      <c r="L10" s="41">
        <f>K10/O1</f>
        <v>2.7336969150230316E-3</v>
      </c>
      <c r="M10" s="20">
        <f t="shared" si="4"/>
        <v>2.92</v>
      </c>
      <c r="N10" s="20">
        <f t="shared" si="5"/>
        <v>2.7352000000000003</v>
      </c>
      <c r="O10" s="21">
        <f>K10/O1*1.4</f>
        <v>3.827175681032244E-3</v>
      </c>
      <c r="P10" s="7">
        <f t="shared" si="0"/>
        <v>2.6170227306898483E-2</v>
      </c>
      <c r="Q10" s="7">
        <f t="shared" si="1"/>
        <v>2.7938382471535381E-2</v>
      </c>
      <c r="S10" s="12" t="s">
        <v>29</v>
      </c>
      <c r="T10" s="11">
        <v>0.02</v>
      </c>
      <c r="U10" s="15">
        <f>U3*T10</f>
        <v>0.18777206513032899</v>
      </c>
      <c r="V10" s="37"/>
    </row>
    <row r="11" spans="2:22" ht="21" customHeight="1" x14ac:dyDescent="0.25">
      <c r="B11" s="3" t="s">
        <v>15</v>
      </c>
      <c r="C11" s="18">
        <v>10</v>
      </c>
      <c r="D11" s="18">
        <f t="shared" si="8"/>
        <v>0.5</v>
      </c>
      <c r="E11" s="18">
        <v>8</v>
      </c>
      <c r="F11" s="18">
        <f t="shared" si="2"/>
        <v>18.5</v>
      </c>
      <c r="G11" s="18">
        <v>0.17499999999999999</v>
      </c>
      <c r="H11" s="18">
        <f>G11*K11/O9</f>
        <v>0</v>
      </c>
      <c r="I11" s="18">
        <f t="shared" si="3"/>
        <v>0</v>
      </c>
      <c r="J11" s="18">
        <v>1.7500000000000002E-2</v>
      </c>
      <c r="K11" s="19"/>
      <c r="L11" s="20"/>
      <c r="M11" s="20">
        <f t="shared" si="4"/>
        <v>0</v>
      </c>
      <c r="N11" s="19">
        <f t="shared" si="5"/>
        <v>0</v>
      </c>
      <c r="O11" s="21">
        <v>0</v>
      </c>
      <c r="P11" s="7">
        <v>0.17499999999999999</v>
      </c>
      <c r="Q11" s="7">
        <v>0.17499999999999999</v>
      </c>
      <c r="S11" s="44" t="s">
        <v>30</v>
      </c>
      <c r="T11" s="46"/>
      <c r="U11" s="48">
        <f>SUM(U5:U10)</f>
        <v>2.452448975796599</v>
      </c>
      <c r="V11" s="39"/>
    </row>
    <row r="12" spans="2:22" ht="21" customHeight="1" x14ac:dyDescent="0.25">
      <c r="B12" s="3" t="s">
        <v>16</v>
      </c>
      <c r="C12" s="18">
        <v>13.45</v>
      </c>
      <c r="D12" s="18">
        <f t="shared" si="8"/>
        <v>0.67249999999999999</v>
      </c>
      <c r="E12" s="18">
        <v>9</v>
      </c>
      <c r="F12" s="18">
        <f t="shared" si="2"/>
        <v>23.122499999999999</v>
      </c>
      <c r="G12" s="18">
        <v>4.4999999999999998E-2</v>
      </c>
      <c r="H12" s="18">
        <f>G12*K12/O10</f>
        <v>0</v>
      </c>
      <c r="I12" s="18">
        <f t="shared" si="3"/>
        <v>0</v>
      </c>
      <c r="J12" s="18">
        <v>4.4999999999999998E-2</v>
      </c>
      <c r="K12" s="19"/>
      <c r="L12" s="20"/>
      <c r="M12" s="20">
        <f t="shared" si="4"/>
        <v>0</v>
      </c>
      <c r="N12" s="19">
        <f t="shared" si="5"/>
        <v>0</v>
      </c>
      <c r="O12" s="21">
        <f>K12/O10*1.4</f>
        <v>0</v>
      </c>
      <c r="P12" s="7">
        <v>4.4999999999999998E-2</v>
      </c>
      <c r="Q12" s="7">
        <v>4.4999999999999998E-2</v>
      </c>
      <c r="S12" s="45"/>
      <c r="T12" s="47"/>
      <c r="U12" s="49"/>
      <c r="V12" s="39"/>
    </row>
    <row r="13" spans="2:22" ht="23.25" x14ac:dyDescent="0.35">
      <c r="H13" s="22">
        <f>SUM(H3:H12)</f>
        <v>0.69129942182310244</v>
      </c>
      <c r="I13" s="22">
        <f>SUM(I3:I12)</f>
        <v>0.96781919055234333</v>
      </c>
      <c r="K13" s="19">
        <f t="shared" ref="K13:Q13" si="9">SUM(K3:K12)</f>
        <v>146.322</v>
      </c>
      <c r="L13" s="41">
        <f>SUM(L3:L12)</f>
        <v>0.99999999999999989</v>
      </c>
      <c r="M13" s="20">
        <f t="shared" si="9"/>
        <v>637.9067</v>
      </c>
      <c r="N13" s="19">
        <f t="shared" si="9"/>
        <v>537.72458600000004</v>
      </c>
      <c r="O13" s="21">
        <f t="shared" si="9"/>
        <v>1.3999999999999995</v>
      </c>
      <c r="P13" s="7">
        <f t="shared" si="9"/>
        <v>5.3649161465808275</v>
      </c>
      <c r="Q13" s="7">
        <f t="shared" si="9"/>
        <v>6.3234525225188269</v>
      </c>
      <c r="S13" s="13" t="s">
        <v>31</v>
      </c>
      <c r="T13" s="9"/>
      <c r="U13" s="15">
        <f>U1+U11</f>
        <v>7.8173651223774261</v>
      </c>
      <c r="V13" s="37"/>
    </row>
    <row r="14" spans="2:22" ht="21" x14ac:dyDescent="0.35">
      <c r="M14" s="24">
        <f>M13/K13</f>
        <v>4.3596089446563058</v>
      </c>
      <c r="N14" s="25">
        <f>N13/K13</f>
        <v>3.6749401047005921</v>
      </c>
      <c r="S14" s="13" t="s">
        <v>32</v>
      </c>
      <c r="T14" s="9"/>
      <c r="U14" s="15">
        <f>U3-U13</f>
        <v>1.5712381341390227</v>
      </c>
      <c r="V14" s="37"/>
    </row>
    <row r="15" spans="2:22" ht="21" x14ac:dyDescent="0.35">
      <c r="G15" s="4" t="s">
        <v>42</v>
      </c>
      <c r="H15" s="23">
        <f>H13</f>
        <v>0.69129942182310244</v>
      </c>
      <c r="S15" s="13" t="s">
        <v>33</v>
      </c>
      <c r="T15" s="9"/>
      <c r="U15" s="17">
        <f>U14/U3</f>
        <v>0.16735589855162497</v>
      </c>
      <c r="V15" s="40"/>
    </row>
    <row r="16" spans="2:22" ht="21" x14ac:dyDescent="0.35">
      <c r="G16" s="4" t="s">
        <v>38</v>
      </c>
      <c r="H16" s="23">
        <f>I13</f>
        <v>0.96781919055234333</v>
      </c>
      <c r="M16">
        <f>M3/M13</f>
        <v>0.81477432358054869</v>
      </c>
      <c r="O16" t="s">
        <v>67</v>
      </c>
      <c r="P16" t="s">
        <v>68</v>
      </c>
      <c r="S16" s="13" t="s">
        <v>34</v>
      </c>
      <c r="T16" s="11">
        <v>0.16</v>
      </c>
      <c r="U16" s="15">
        <f>U3*T16</f>
        <v>1.5021765210426319</v>
      </c>
      <c r="V16" s="37"/>
    </row>
    <row r="17" spans="1:22" ht="23.25" x14ac:dyDescent="0.35">
      <c r="G17" s="51" t="s">
        <v>43</v>
      </c>
      <c r="H17" s="51"/>
      <c r="I17" s="22">
        <f>N13/K13</f>
        <v>3.6749401047005921</v>
      </c>
      <c r="M17">
        <f>3.56/10*7</f>
        <v>2.492</v>
      </c>
      <c r="N17" s="1"/>
      <c r="O17">
        <f>M17*18%</f>
        <v>0.44855999999999996</v>
      </c>
      <c r="P17">
        <f>M17-O17</f>
        <v>2.0434399999999999</v>
      </c>
      <c r="S17" s="13" t="s">
        <v>39</v>
      </c>
      <c r="T17" s="9"/>
      <c r="U17" s="15">
        <f>U13+U16</f>
        <v>9.3195416434200578</v>
      </c>
      <c r="V17" s="37"/>
    </row>
    <row r="18" spans="1:22" ht="23.25" x14ac:dyDescent="0.35">
      <c r="G18" s="43" t="s">
        <v>46</v>
      </c>
      <c r="H18" s="43"/>
      <c r="I18" s="22">
        <f>M13/K13</f>
        <v>4.3596089446563058</v>
      </c>
      <c r="J18" s="1">
        <f>I18*1.4</f>
        <v>6.1034525225188281</v>
      </c>
      <c r="M18">
        <f>0.78/10*3</f>
        <v>0.23399999999999999</v>
      </c>
      <c r="N18" s="1"/>
      <c r="O18">
        <f>M18*12%</f>
        <v>2.8079999999999997E-2</v>
      </c>
      <c r="P18">
        <f>M18-O18</f>
        <v>0.20591999999999999</v>
      </c>
      <c r="S18" s="13" t="s">
        <v>35</v>
      </c>
      <c r="T18" s="9"/>
      <c r="U18" s="15">
        <f>U3-U17</f>
        <v>6.9061613096391028E-2</v>
      </c>
      <c r="V18" s="37"/>
    </row>
    <row r="19" spans="1:22" ht="15.75" x14ac:dyDescent="0.25">
      <c r="M19">
        <f>SUM(M17:M18)</f>
        <v>2.726</v>
      </c>
      <c r="O19">
        <f>SUM(O17:O18)</f>
        <v>0.47663999999999995</v>
      </c>
      <c r="P19">
        <f>SUM(P17:P18)</f>
        <v>2.2493599999999998</v>
      </c>
      <c r="S19" s="13" t="s">
        <v>36</v>
      </c>
      <c r="T19" s="9"/>
      <c r="U19" s="17">
        <f>U18/U3</f>
        <v>7.3558985516249918E-3</v>
      </c>
      <c r="V19" s="40"/>
    </row>
    <row r="20" spans="1:22" ht="15.75" x14ac:dyDescent="0.25">
      <c r="A20" s="26" t="s">
        <v>47</v>
      </c>
      <c r="B20" s="26" t="s">
        <v>48</v>
      </c>
      <c r="C20" s="26" t="s">
        <v>49</v>
      </c>
      <c r="D20" s="1" t="s">
        <v>63</v>
      </c>
      <c r="E20" s="1" t="s">
        <v>64</v>
      </c>
      <c r="F20" s="1" t="s">
        <v>65</v>
      </c>
      <c r="G20" s="1" t="s">
        <v>66</v>
      </c>
      <c r="M20">
        <f>M19*0.75</f>
        <v>2.0445000000000002</v>
      </c>
      <c r="O20">
        <f>O19*0.75</f>
        <v>0.35747999999999996</v>
      </c>
      <c r="P20">
        <f>P19*0.75</f>
        <v>1.68702</v>
      </c>
      <c r="S20" s="14" t="s">
        <v>37</v>
      </c>
      <c r="T20" s="9"/>
      <c r="U20" s="15">
        <f>U5*10%</f>
        <v>7.2212939562061734E-2</v>
      </c>
      <c r="V20" s="37"/>
    </row>
    <row r="21" spans="1:22" x14ac:dyDescent="0.25">
      <c r="A21" s="27">
        <v>120</v>
      </c>
      <c r="B21" s="28" t="s">
        <v>50</v>
      </c>
      <c r="C21" s="35">
        <v>1.26</v>
      </c>
      <c r="D21" s="34">
        <f>C21*I17</f>
        <v>4.6304245319227464</v>
      </c>
      <c r="E21" s="1">
        <v>10.5</v>
      </c>
      <c r="F21" s="1">
        <v>1.6</v>
      </c>
      <c r="G21" s="36">
        <f>F21/E21</f>
        <v>0.15238095238095239</v>
      </c>
      <c r="I21" s="1">
        <f>I18*C21</f>
        <v>5.493107270266945</v>
      </c>
      <c r="S21" s="30" t="s">
        <v>69</v>
      </c>
      <c r="T21" s="31"/>
      <c r="U21" s="1">
        <f>(U5*90%)*10%</f>
        <v>6.4991645605855561E-2</v>
      </c>
      <c r="V21" s="1"/>
    </row>
    <row r="22" spans="1:22" x14ac:dyDescent="0.25">
      <c r="A22" s="27">
        <v>924</v>
      </c>
      <c r="B22" s="28" t="s">
        <v>51</v>
      </c>
      <c r="C22" s="35">
        <v>0.7</v>
      </c>
      <c r="D22" s="34">
        <f>C22*I17</f>
        <v>2.5724580732904143</v>
      </c>
      <c r="E22" s="1">
        <v>9.27</v>
      </c>
      <c r="F22" s="1">
        <v>2.8919999999999999</v>
      </c>
      <c r="G22" s="36">
        <f t="shared" ref="G22:G33" si="10">F22/E22</f>
        <v>0.31197411003236247</v>
      </c>
      <c r="I22" s="1">
        <f>I18*C22</f>
        <v>3.051726261259414</v>
      </c>
      <c r="S22" s="30" t="s">
        <v>70</v>
      </c>
      <c r="T22" s="31"/>
      <c r="U22" s="1">
        <f>(U5*90%-U21)*10%</f>
        <v>5.8492481045269995E-2</v>
      </c>
      <c r="V22" s="1"/>
    </row>
    <row r="23" spans="1:22" x14ac:dyDescent="0.25">
      <c r="A23" s="27">
        <v>925</v>
      </c>
      <c r="B23" s="28" t="s">
        <v>52</v>
      </c>
      <c r="C23" s="35">
        <v>0.7</v>
      </c>
      <c r="D23" s="34">
        <v>2.37</v>
      </c>
      <c r="E23" s="1">
        <v>9.27</v>
      </c>
      <c r="F23" s="1">
        <v>2.8919999999999999</v>
      </c>
      <c r="G23" s="36">
        <f t="shared" si="10"/>
        <v>0.31197411003236247</v>
      </c>
      <c r="I23" s="1">
        <f>C23*I18</f>
        <v>3.051726261259414</v>
      </c>
      <c r="S23" s="30" t="s">
        <v>73</v>
      </c>
      <c r="T23" s="31"/>
      <c r="U23" s="1">
        <f>SUM(U20:U22)</f>
        <v>0.19569706621318728</v>
      </c>
      <c r="V23" s="1"/>
    </row>
    <row r="24" spans="1:22" x14ac:dyDescent="0.25">
      <c r="A24" s="27">
        <v>926</v>
      </c>
      <c r="B24" s="28" t="s">
        <v>53</v>
      </c>
      <c r="C24" s="35">
        <v>0.6</v>
      </c>
      <c r="D24" s="34">
        <f>C24*I17</f>
        <v>2.2049640628203551</v>
      </c>
      <c r="E24" s="1">
        <v>8.42</v>
      </c>
      <c r="F24" s="1">
        <v>2.82</v>
      </c>
      <c r="G24" s="36">
        <f t="shared" si="10"/>
        <v>0.33491686460807601</v>
      </c>
      <c r="I24" s="1">
        <f>C24*I18</f>
        <v>2.6157653667937835</v>
      </c>
      <c r="S24" s="30" t="s">
        <v>74</v>
      </c>
      <c r="T24" s="31"/>
      <c r="U24" s="34">
        <f>U5-U23</f>
        <v>0.52643232940743001</v>
      </c>
      <c r="V24" s="34"/>
    </row>
    <row r="25" spans="1:22" x14ac:dyDescent="0.25">
      <c r="A25" s="27">
        <v>927</v>
      </c>
      <c r="B25" s="28" t="s">
        <v>54</v>
      </c>
      <c r="C25" s="35">
        <v>0.6</v>
      </c>
      <c r="D25" s="34">
        <f>C25*I17</f>
        <v>2.2049640628203551</v>
      </c>
      <c r="E25" s="1">
        <v>8.42</v>
      </c>
      <c r="F25" s="1">
        <v>2.82</v>
      </c>
      <c r="G25" s="36">
        <f t="shared" si="10"/>
        <v>0.33491686460807601</v>
      </c>
      <c r="I25" s="1">
        <f>I18*C25</f>
        <v>2.6157653667937835</v>
      </c>
      <c r="S25" s="33" t="s">
        <v>75</v>
      </c>
      <c r="T25" s="31"/>
      <c r="U25" s="32">
        <f>U1+U11-U5+U16+U23</f>
        <v>8.7931093140126286</v>
      </c>
      <c r="V25" s="32"/>
    </row>
    <row r="26" spans="1:22" x14ac:dyDescent="0.25">
      <c r="A26" s="27">
        <v>928</v>
      </c>
      <c r="B26" s="28" t="s">
        <v>55</v>
      </c>
      <c r="C26" s="35">
        <v>1.3</v>
      </c>
      <c r="D26" s="34">
        <f>C26*I17</f>
        <v>4.7774221361107703</v>
      </c>
      <c r="E26" s="1">
        <v>11.27</v>
      </c>
      <c r="F26" s="1">
        <v>1.7330000000000001</v>
      </c>
      <c r="G26" s="36">
        <f t="shared" si="10"/>
        <v>0.15377107364685005</v>
      </c>
      <c r="I26" s="1">
        <f>I18*C27</f>
        <v>5.6674916280531979</v>
      </c>
      <c r="S26" s="33" t="s">
        <v>71</v>
      </c>
      <c r="T26" s="31"/>
      <c r="U26" s="32">
        <f>U3-U25</f>
        <v>0.59549394250382015</v>
      </c>
      <c r="V26" s="32"/>
    </row>
    <row r="27" spans="1:22" x14ac:dyDescent="0.25">
      <c r="A27" s="27">
        <v>929</v>
      </c>
      <c r="B27" s="28" t="s">
        <v>56</v>
      </c>
      <c r="C27" s="35">
        <v>1.3</v>
      </c>
      <c r="D27" s="34">
        <f>C27*I17</f>
        <v>4.7774221361107703</v>
      </c>
      <c r="E27" s="1">
        <v>11.27</v>
      </c>
      <c r="F27" s="1">
        <v>1.7330000000000001</v>
      </c>
      <c r="G27" s="36">
        <f t="shared" si="10"/>
        <v>0.15377107364685005</v>
      </c>
      <c r="I27" s="1">
        <f>I18*C27</f>
        <v>5.6674916280531979</v>
      </c>
      <c r="S27" s="33" t="s">
        <v>72</v>
      </c>
      <c r="T27" s="31"/>
      <c r="U27" s="29">
        <f>U26/U3</f>
        <v>6.3427319936061766E-2</v>
      </c>
      <c r="V27" s="29"/>
    </row>
    <row r="28" spans="1:22" x14ac:dyDescent="0.25">
      <c r="A28" s="27">
        <v>930</v>
      </c>
      <c r="B28" s="28" t="s">
        <v>57</v>
      </c>
      <c r="C28" s="35">
        <v>1.1599999999999999</v>
      </c>
      <c r="D28" s="34">
        <f>C28*I17</f>
        <v>4.2629305214526862</v>
      </c>
      <c r="E28" s="1">
        <v>10.5</v>
      </c>
      <c r="F28" s="1">
        <v>1.7969999999999999</v>
      </c>
      <c r="G28" s="36">
        <f t="shared" si="10"/>
        <v>0.17114285714285712</v>
      </c>
      <c r="I28" s="1">
        <f>I18*C29</f>
        <v>5.057146375801314</v>
      </c>
    </row>
    <row r="29" spans="1:22" x14ac:dyDescent="0.25">
      <c r="A29" s="27">
        <v>934</v>
      </c>
      <c r="B29" s="28" t="s">
        <v>58</v>
      </c>
      <c r="C29" s="35">
        <v>1.1599999999999999</v>
      </c>
      <c r="D29" s="34">
        <f>C29*I17</f>
        <v>4.2629305214526862</v>
      </c>
      <c r="E29" s="1">
        <v>10.5</v>
      </c>
      <c r="F29" s="1">
        <v>1.7969999999999999</v>
      </c>
      <c r="G29" s="36">
        <f t="shared" si="10"/>
        <v>0.17114285714285712</v>
      </c>
      <c r="I29" s="1">
        <f>I18*C29</f>
        <v>5.057146375801314</v>
      </c>
    </row>
    <row r="30" spans="1:22" x14ac:dyDescent="0.25">
      <c r="A30" s="27">
        <v>957</v>
      </c>
      <c r="B30" s="28" t="s">
        <v>59</v>
      </c>
      <c r="C30" s="35">
        <v>1.1200000000000001</v>
      </c>
      <c r="D30" s="34">
        <f>C30*I17</f>
        <v>4.1159329172646633</v>
      </c>
      <c r="E30" s="1">
        <v>11.2</v>
      </c>
      <c r="F30" s="1">
        <v>2.4500000000000002</v>
      </c>
      <c r="G30" s="36">
        <f t="shared" si="10"/>
        <v>0.21875000000000003</v>
      </c>
      <c r="I30" s="1">
        <f>I18*C30</f>
        <v>4.8827620180150628</v>
      </c>
    </row>
    <row r="31" spans="1:22" x14ac:dyDescent="0.25">
      <c r="A31" s="27">
        <v>958</v>
      </c>
      <c r="B31" s="28" t="s">
        <v>60</v>
      </c>
      <c r="C31" s="35">
        <v>1.1200000000000001</v>
      </c>
      <c r="D31" s="34">
        <f>C31*I17</f>
        <v>4.1159329172646633</v>
      </c>
      <c r="E31" s="1">
        <v>11.2</v>
      </c>
      <c r="F31" s="1">
        <v>2.4500000000000002</v>
      </c>
      <c r="G31" s="36">
        <f t="shared" si="10"/>
        <v>0.21875000000000003</v>
      </c>
      <c r="I31" s="1">
        <f>I18*C31</f>
        <v>4.8827620180150628</v>
      </c>
    </row>
    <row r="32" spans="1:22" x14ac:dyDescent="0.25">
      <c r="A32" s="27">
        <v>960</v>
      </c>
      <c r="B32" s="28" t="s">
        <v>61</v>
      </c>
      <c r="C32" s="35">
        <v>1.1100000000000001</v>
      </c>
      <c r="D32" s="34">
        <f>C32*I17</f>
        <v>4.0791835162176575</v>
      </c>
      <c r="E32" s="1">
        <v>12.45</v>
      </c>
      <c r="F32" s="1">
        <v>3.07</v>
      </c>
      <c r="G32" s="36">
        <f t="shared" si="10"/>
        <v>0.2465863453815261</v>
      </c>
      <c r="I32" s="1">
        <f>I18*C32</f>
        <v>4.8391659285684998</v>
      </c>
    </row>
    <row r="33" spans="1:9" x14ac:dyDescent="0.25">
      <c r="A33" s="27">
        <v>962</v>
      </c>
      <c r="B33" s="28" t="s">
        <v>62</v>
      </c>
      <c r="C33" s="35">
        <v>1.1100000000000001</v>
      </c>
      <c r="D33" s="34">
        <f>C33*I17</f>
        <v>4.0791835162176575</v>
      </c>
      <c r="E33" s="1">
        <v>12.45</v>
      </c>
      <c r="F33" s="1">
        <v>3.07</v>
      </c>
      <c r="G33" s="36">
        <f t="shared" si="10"/>
        <v>0.2465863453815261</v>
      </c>
      <c r="I33" s="1">
        <f>I18*C33</f>
        <v>4.8391659285684998</v>
      </c>
    </row>
  </sheetData>
  <mergeCells count="7">
    <mergeCell ref="G18:H18"/>
    <mergeCell ref="S11:S12"/>
    <mergeCell ref="T11:T12"/>
    <mergeCell ref="U11:U12"/>
    <mergeCell ref="K1:N1"/>
    <mergeCell ref="G17:H17"/>
    <mergeCell ref="C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Santos- DEDE</dc:creator>
  <cp:lastModifiedBy>Dedé</cp:lastModifiedBy>
  <dcterms:created xsi:type="dcterms:W3CDTF">2018-03-07T17:35:49Z</dcterms:created>
  <dcterms:modified xsi:type="dcterms:W3CDTF">2018-07-20T14:46:48Z</dcterms:modified>
</cp:coreProperties>
</file>